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7" i="5" l="1"/>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11" i="6" l="1"/>
  <c r="B32" i="6"/>
  <c r="C10" i="6"/>
  <c r="C12" i="6"/>
  <c r="C7" i="6"/>
  <c r="C9" i="6"/>
  <c r="C8"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5" i="5"/>
  <c r="S6"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<sst xmlns="http://schemas.openxmlformats.org/spreadsheetml/2006/main" count="21812" uniqueCount="15516">
  <si>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</si>
  <si>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</si>
  <si>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</si>
  <si>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</si>
  <si>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</si>
  <si>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</si>
  <si>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</si>
  <si>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</si>
  <si>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</si>
  <si>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</si>
  <si>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</si>
  <si>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</si>
  <si>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</si>
  <si>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</si>
  <si>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</si>
  <si>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</si>
  <si>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</si>
  <si>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</si>
  <si>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</si>
  <si>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</si>
  <si>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</si>
  <si>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</si>
  <si>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</si>
  <si>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</si>
  <si>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</si>
  <si>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</si>
  <si>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</si>
  <si>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</si>
  <si>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</si>
  <si>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</si>
  <si>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</si>
  <si>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</si>
  <si>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</si>
  <si>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</si>
  <si>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</si>
  <si>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</si>
  <si>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</si>
  <si>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</si>
  <si>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</si>
  <si>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</si>
  <si>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</si>
  <si>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</si>
  <si>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</si>
  <si>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</si>
  <si>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</si>
  <si>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</si>
  <si>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</si>
  <si>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</si>
  <si>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</si>
  <si>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</si>
  <si>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</si>
  <si>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</si>
  <si>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</si>
  <si>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</si>
  <si>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</si>
  <si>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</si>
  <si>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</si>
  <si>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</si>
  <si>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</si>
  <si>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</si>
  <si>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</si>
  <si>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</si>
  <si>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</si>
  <si>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</si>
  <si>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</si>
  <si>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</si>
  <si>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</si>
  <si>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</si>
  <si>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</si>
  <si>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</si>
  <si>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</si>
  <si>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</si>
  <si>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</si>
  <si>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</si>
  <si>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</si>
  <si>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</si>
  <si>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</si>
  <si>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</si>
  <si>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</si>
  <si>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</si>
  <si>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</si>
  <si>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</si>
  <si>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</si>
  <si>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</si>
  <si>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</si>
  <si>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</si>
  <si>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</si>
  <si>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</si>
  <si>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</si>
  <si>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</si>
  <si>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</si>
  <si>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</si>
  <si>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</si>
  <si>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</si>
  <si>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</si>
  <si>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</si>
  <si>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</si>
  <si>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</si>
  <si>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</si>
  <si>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</si>
  <si>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</si>
  <si>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</si>
  <si>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</si>
  <si>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</si>
  <si>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</si>
  <si>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</si>
  <si>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</si>
  <si>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</si>
  <si>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</si>
  <si>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</si>
  <si>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</si>
  <si>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</si>
  <si>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</si>
  <si>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</si>
  <si>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</si>
  <si>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</si>
  <si>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</si>
  <si>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</si>
  <si>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</si>
  <si>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</si>
  <si>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</si>
  <si>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</si>
  <si>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</si>
  <si>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</si>
  <si>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</si>
  <si>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</si>
  <si>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</si>
  <si>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</si>
  <si>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</si>
  <si>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</si>
  <si>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</si>
  <si>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</si>
  <si>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</si>
  <si>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</si>
  <si>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</si>
  <si>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</si>
  <si>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</si>
  <si>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</si>
  <si>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</si>
  <si>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</si>
  <si>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</si>
  <si>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</si>
  <si>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</si>
  <si>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</si>
  <si>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</si>
  <si>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</si>
  <si>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</si>
  <si>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</si>
  <si>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</si>
  <si>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</si>
  <si>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</si>
  <si>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</si>
  <si>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</si>
  <si>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</si>
  <si>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</si>
  <si>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</si>
  <si>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</si>
  <si>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</si>
  <si>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</si>
  <si>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</si>
  <si>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</si>
  <si>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</si>
  <si>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</si>
  <si>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</si>
  <si>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</si>
  <si>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</si>
  <si>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</si>
  <si>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</si>
  <si>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</si>
  <si>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</si>
  <si>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</si>
  <si>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</si>
  <si>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</si>
  <si>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</si>
  <si>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</si>
  <si>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</si>
  <si>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</si>
  <si>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</si>
  <si>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</si>
  <si>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</si>
  <si>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</si>
  <si>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</si>
  <si>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</si>
  <si>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</si>
  <si>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</si>
  <si>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</si>
  <si>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</si>
  <si>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</si>
  <si>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</si>
  <si>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</si>
  <si>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</si>
  <si>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</si>
  <si>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</si>
  <si>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</si>
  <si>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</si>
  <si>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</si>
  <si>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</si>
  <si>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</si>
  <si>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</si>
  <si>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</si>
  <si>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</si>
  <si>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</si>
  <si>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</si>
  <si>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</si>
  <si>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</si>
  <si>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</si>
  <si>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</si>
  <si>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</si>
  <si>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</si>
  <si>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</si>
  <si>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</si>
  <si>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</si>
  <si>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</si>
  <si>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</si>
  <si>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</si>
  <si>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</si>
  <si>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</si>
  <si>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</si>
  <si>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</si>
  <si>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</si>
  <si>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</si>
  <si>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</si>
  <si>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</si>
  <si>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</si>
  <si>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</si>
  <si>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</si>
  <si>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</si>
  <si>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</si>
  <si>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</si>
  <si>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</si>
  <si>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</si>
  <si>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</si>
  <si>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</si>
  <si>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</si>
  <si>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</si>
  <si>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</si>
  <si>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</si>
  <si>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</si>
  <si>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</si>
  <si>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</si>
  <si>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</si>
  <si>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</si>
  <si>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</si>
  <si>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</si>
  <si>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</si>
  <si>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</si>
  <si>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</si>
  <si>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</si>
  <si>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</si>
  <si>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</si>
  <si>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</si>
  <si>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</si>
  <si>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</si>
  <si>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</si>
  <si>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</si>
  <si>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</si>
  <si>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</si>
  <si>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</si>
  <si>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</si>
  <si>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</si>
  <si>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</si>
  <si>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</si>
  <si>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</si>
  <si>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</si>
  <si>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</si>
  <si>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</si>
  <si>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</si>
  <si>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</si>
  <si>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</si>
  <si>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</si>
  <si>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</si>
  <si>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</si>
  <si>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</si>
  <si>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</si>
  <si>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</si>
  <si>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</si>
  <si>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</si>
  <si>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</si>
  <si>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</si>
  <si>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</si>
  <si>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</si>
  <si>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</si>
  <si>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</si>
  <si>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</si>
  <si>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</si>
  <si>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</si>
  <si>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</si>
  <si>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</si>
  <si>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</si>
  <si>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</si>
  <si>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</si>
  <si>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</si>
  <si>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</si>
  <si>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</si>
  <si>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</si>
  <si>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</si>
  <si>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</si>
  <si>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</si>
  <si>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</si>
  <si>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</si>
  <si>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</si>
  <si>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</si>
  <si>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</si>
  <si>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</si>
  <si>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</si>
  <si>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</si>
  <si>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</si>
  <si>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</si>
  <si>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</si>
  <si>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</si>
  <si>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</si>
  <si>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</si>
  <si>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</si>
  <si>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</si>
  <si>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</si>
  <si>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</si>
  <si>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</si>
  <si>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</si>
  <si>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</si>
  <si>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</si>
  <si>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</si>
  <si>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</si>
  <si>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</si>
  <si>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</si>
  <si>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</si>
  <si>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</si>
  <si>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</si>
  <si>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</si>
  <si>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</si>
  <si>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</si>
  <si>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</si>
  <si>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</si>
  <si>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</si>
  <si>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</si>
  <si>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</si>
  <si>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</si>
  <si>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</si>
  <si>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</si>
  <si>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</si>
  <si>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</si>
  <si>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</si>
  <si>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</si>
  <si>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</si>
  <si>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</si>
  <si>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</si>
  <si>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</si>
  <si>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</si>
  <si>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</si>
  <si>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</si>
  <si>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</si>
  <si>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</si>
  <si>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</si>
  <si>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</si>
  <si>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</si>
  <si>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</si>
  <si>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</si>
  <si>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</si>
  <si>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</si>
  <si>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</si>
  <si>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</si>
  <si>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</si>
  <si>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</si>
  <si>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</si>
  <si>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</si>
  <si>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</si>
  <si>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</si>
  <si>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</si>
  <si>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</si>
  <si>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</si>
  <si>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</si>
  <si>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</si>
  <si>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</si>
  <si>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</si>
  <si>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</si>
  <si>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</si>
  <si>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</si>
  <si>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</si>
  <si>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</si>
  <si>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</si>
  <si>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</si>
  <si>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</si>
  <si>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</si>
  <si>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</si>
  <si>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</si>
  <si>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</si>
  <si>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</si>
  <si>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</si>
  <si>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</si>
  <si>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</si>
  <si>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</si>
  <si>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</si>
  <si>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</si>
  <si>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</si>
  <si>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</si>
  <si>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</si>
  <si>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</si>
  <si>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</si>
  <si>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</si>
  <si>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</si>
  <si>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</si>
  <si>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</si>
  <si>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</si>
  <si>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</si>
  <si>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</si>
  <si>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</si>
  <si>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</si>
  <si>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</si>
  <si>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</si>
  <si>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</si>
  <si>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</si>
  <si>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</si>
  <si>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</si>
  <si>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</si>
  <si>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</si>
  <si>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</si>
  <si>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</si>
  <si>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</si>
  <si>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</si>
  <si>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</si>
  <si>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</si>
  <si>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</si>
  <si>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</si>
  <si>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</si>
  <si>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</si>
  <si>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</si>
  <si>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</si>
  <si>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</si>
  <si>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</si>
  <si>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</si>
  <si>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</si>
  <si>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</si>
  <si>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</si>
  <si>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</si>
  <si>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</si>
  <si>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</si>
  <si>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</si>
  <si>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</si>
  <si>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</si>
  <si>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</si>
  <si>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</si>
  <si>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</si>
  <si>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</si>
  <si>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</si>
  <si>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</si>
  <si>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</si>
  <si>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</si>
  <si>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</si>
  <si>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</si>
  <si>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</si>
  <si>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</si>
  <si>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</si>
  <si>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</si>
  <si>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</si>
  <si>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</si>
  <si>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</si>
  <si>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</si>
  <si>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</si>
  <si>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</si>
  <si>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</si>
  <si>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</si>
  <si>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</si>
  <si>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</si>
  <si>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</si>
  <si>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</si>
  <si>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</si>
  <si>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</si>
  <si>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</si>
  <si>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</si>
  <si>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</si>
  <si>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</si>
  <si>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</si>
  <si>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</si>
  <si>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</si>
  <si>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</si>
  <si>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</si>
  <si>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</si>
  <si>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</si>
  <si>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</si>
  <si>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</si>
  <si>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</si>
  <si>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</si>
  <si>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</si>
  <si>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</si>
  <si>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</si>
  <si>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</si>
  <si>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</si>
  <si>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</si>
  <si>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</si>
  <si>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</si>
  <si>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</si>
  <si>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</si>
  <si>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</si>
  <si>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</si>
  <si>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</si>
  <si>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</si>
  <si>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</si>
  <si>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</si>
  <si>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</si>
  <si>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</si>
  <si>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</si>
  <si>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</si>
  <si>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</si>
  <si>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</si>
  <si>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</si>
  <si>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</si>
  <si>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</si>
  <si>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</si>
  <si>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</si>
  <si>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</si>
  <si>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</si>
  <si>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</si>
  <si>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</si>
  <si>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</si>
  <si>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</si>
  <si>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</si>
  <si>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</si>
  <si>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</si>
  <si>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</si>
  <si>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</si>
  <si>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</si>
  <si>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</si>
  <si>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</si>
  <si>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</si>
  <si>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</si>
  <si>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</si>
  <si>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</si>
  <si>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</si>
  <si>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</si>
  <si>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</si>
  <si>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</si>
  <si>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</si>
  <si>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</si>
  <si>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</si>
  <si>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</si>
  <si>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</si>
  <si>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</si>
  <si>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</si>
  <si>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</si>
  <si>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</si>
  <si>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</si>
  <si>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</si>
  <si>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</si>
  <si>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</si>
  <si>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</si>
  <si>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</si>
  <si>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</si>
  <si>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</si>
  <si>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</si>
  <si>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</si>
  <si>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</si>
  <si>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</si>
  <si>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</si>
  <si>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</si>
  <si>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</si>
  <si>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</si>
  <si>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</si>
  <si>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</si>
  <si>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</si>
  <si>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</si>
  <si>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</si>
  <si>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</si>
  <si>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</si>
  <si>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</si>
  <si>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</si>
  <si>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</si>
  <si>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</si>
  <si>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</si>
  <si>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</si>
  <si>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</si>
  <si>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</si>
  <si>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</si>
  <si>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</si>
  <si>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</si>
  <si>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</si>
  <si>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</si>
  <si>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</si>
  <si>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</si>
  <si>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</si>
  <si>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</si>
  <si>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</si>
  <si>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</si>
  <si>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</si>
  <si>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</si>
  <si>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</si>
  <si>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</si>
  <si>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</si>
  <si>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</si>
  <si>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</si>
  <si>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</si>
  <si>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</si>
  <si>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</si>
  <si>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</si>
  <si>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</si>
  <si>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</si>
  <si>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</si>
  <si>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</si>
  <si>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</si>
  <si>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</si>
  <si>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</si>
  <si>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</si>
  <si>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</si>
  <si>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</si>
  <si>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</si>
  <si>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</si>
  <si>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</si>
  <si>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</si>
  <si>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</si>
  <si>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</si>
  <si>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</si>
  <si>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</si>
  <si>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</si>
  <si>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</si>
  <si>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</si>
  <si>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</si>
  <si>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</si>
  <si>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</si>
  <si>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</si>
  <si>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</si>
  <si>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</si>
  <si>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</si>
  <si>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</si>
  <si>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</si>
  <si>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</si>
  <si>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</si>
  <si>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</si>
  <si>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</si>
  <si>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</si>
  <si>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</si>
  <si>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</si>
  <si>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</si>
  <si>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</si>
  <si>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</si>
  <si>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</si>
  <si>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</si>
  <si>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</si>
  <si>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</si>
  <si>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</si>
  <si>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</si>
  <si>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</si>
  <si>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</si>
  <si>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</si>
  <si>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</si>
  <si>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</si>
  <si>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</si>
  <si>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</si>
  <si>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</si>
  <si>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</si>
  <si>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</si>
  <si>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</si>
  <si>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</si>
  <si>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</si>
  <si>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</si>
  <si>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</si>
  <si>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</si>
  <si>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</si>
  <si>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</si>
  <si>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</si>
  <si>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</si>
  <si>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</si>
  <si>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</si>
  <si>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</si>
  <si>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</si>
  <si>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</si>
  <si>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</si>
  <si>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</si>
  <si>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</si>
  <si>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</si>
  <si>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</si>
  <si>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</si>
  <si>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</si>
  <si>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</si>
  <si>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</si>
  <si>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</si>
  <si>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</si>
  <si>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</si>
  <si>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</si>
  <si>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</si>
  <si>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</si>
  <si>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</si>
  <si>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</si>
  <si>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</si>
  <si>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</si>
  <si>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</si>
  <si>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</si>
  <si>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</si>
  <si>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</si>
  <si>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</si>
  <si>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</si>
  <si>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</si>
  <si>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</si>
  <si>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</si>
  <si>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</si>
  <si>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</si>
  <si>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</si>
  <si>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</si>
  <si>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</si>
  <si>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</si>
  <si>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</si>
  <si>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</si>
  <si>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</si>
  <si>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</si>
  <si>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</si>
  <si>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</si>
  <si>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</si>
  <si>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</si>
  <si>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</si>
  <si>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</si>
  <si>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</si>
  <si>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</si>
  <si>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</si>
  <si>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</si>
  <si>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</si>
  <si>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</si>
  <si>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</si>
  <si>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</si>
  <si>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</si>
  <si>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</si>
  <si>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</si>
  <si>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</si>
  <si>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</si>
  <si>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</si>
  <si>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</si>
  <si>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</si>
  <si>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</si>
  <si>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</si>
  <si>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</si>
  <si>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</si>
  <si>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</si>
  <si>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</si>
  <si>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</si>
  <si>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</si>
  <si>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</si>
  <si>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</si>
  <si>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</si>
  <si>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</si>
  <si>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</si>
  <si>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</si>
  <si>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</si>
  <si>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</si>
  <si>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</si>
  <si>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</si>
  <si>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</si>
  <si>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</si>
  <si>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</si>
  <si>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</si>
  <si>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</si>
  <si>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</si>
  <si>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</si>
  <si>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</si>
  <si>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</si>
  <si>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</si>
  <si>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</si>
  <si>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</si>
  <si>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</si>
  <si>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</si>
  <si>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</si>
  <si>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</si>
  <si>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</si>
  <si>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</si>
  <si>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</si>
  <si>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</si>
  <si>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</si>
  <si>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</si>
  <si>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</si>
  <si>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</si>
  <si>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</si>
  <si>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</si>
  <si>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</si>
  <si>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</si>
  <si>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</si>
  <si>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</si>
  <si>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</si>
  <si>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</si>
  <si>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</si>
  <si>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</si>
  <si>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</si>
  <si>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</si>
  <si>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</si>
  <si>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</si>
  <si>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</si>
  <si>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</si>
  <si>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</si>
  <si>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</si>
  <si>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</si>
  <si>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</si>
  <si>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</si>
  <si>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</si>
  <si>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</si>
  <si>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</si>
  <si>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</si>
  <si>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</si>
  <si>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</si>
  <si>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</si>
  <si>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</si>
  <si>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</si>
  <si>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</si>
  <si>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</si>
  <si>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</si>
  <si>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</si>
  <si>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</si>
  <si>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</si>
  <si>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</si>
  <si>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</si>
  <si>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</si>
  <si>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</si>
  <si>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</si>
  <si>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</si>
  <si>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</si>
  <si>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</si>
  <si>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</si>
  <si>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</si>
  <si>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</si>
  <si>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</si>
  <si>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</si>
  <si>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</si>
  <si>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</si>
  <si>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</si>
  <si>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</si>
  <si>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</si>
  <si>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</si>
  <si>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</si>
  <si>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</si>
  <si>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</si>
  <si>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</si>
  <si>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</si>
  <si>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</si>
  <si>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</si>
  <si>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</si>
  <si>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</si>
  <si>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</si>
  <si>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</si>
  <si>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</si>
  <si>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</si>
  <si>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</si>
  <si>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</si>
  <si>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</si>
  <si>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</si>
  <si>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</si>
  <si>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</si>
  <si>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</si>
  <si>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</si>
  <si>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</si>
  <si>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</si>
  <si>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</si>
  <si>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</si>
  <si>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</si>
  <si>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</si>
  <si>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</si>
  <si>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</si>
  <si>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</si>
  <si>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</si>
  <si>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</si>
  <si>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</si>
  <si>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</si>
  <si>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</si>
  <si>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</si>
  <si>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</si>
  <si>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</si>
  <si>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</si>
  <si>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</si>
  <si>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</si>
  <si>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</si>
  <si>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</si>
  <si>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</si>
  <si>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</si>
  <si>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</si>
  <si>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</si>
  <si>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</si>
  <si>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</si>
  <si>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</si>
  <si>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</si>
  <si>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</si>
  <si>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</si>
  <si>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</si>
  <si>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</si>
  <si>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</si>
  <si>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</si>
  <si>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</si>
  <si>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</si>
  <si>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</si>
  <si>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</si>
  <si>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</si>
  <si>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</si>
  <si>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</si>
  <si>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</si>
  <si>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</si>
  <si>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</si>
  <si>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</si>
  <si>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</si>
  <si>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</si>
  <si>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</si>
  <si>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</si>
  <si>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</si>
  <si>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</si>
  <si>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</si>
  <si>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</si>
  <si>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</si>
  <si>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</si>
  <si>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</si>
  <si>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</si>
  <si>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</si>
  <si>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</si>
  <si>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</si>
  <si>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</si>
  <si>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</si>
  <si>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</si>
  <si>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</si>
  <si>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</si>
  <si>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</si>
  <si>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</si>
  <si>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</si>
  <si>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</si>
  <si>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</si>
  <si>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</si>
  <si>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</si>
  <si>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</si>
  <si>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</si>
  <si>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</si>
  <si>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</si>
  <si>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</si>
  <si>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</si>
  <si>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</si>
  <si>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</si>
  <si>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</si>
  <si>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</si>
  <si>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</si>
  <si>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</si>
  <si>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</si>
  <si>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</si>
  <si>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</si>
  <si>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</si>
  <si>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</si>
  <si>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</si>
  <si>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</si>
  <si>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</si>
  <si>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</si>
  <si>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</si>
  <si>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</si>
  <si>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</si>
  <si>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</si>
  <si>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</si>
  <si>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</si>
  <si>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</si>
  <si>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</si>
  <si>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</si>
  <si>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</si>
  <si>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</si>
  <si>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</si>
  <si>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</si>
  <si>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</si>
  <si>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</si>
  <si>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</si>
  <si>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</si>
  <si>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</si>
  <si>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</si>
  <si>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</si>
  <si>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</si>
  <si>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</si>
  <si>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</si>
  <si>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</si>
  <si>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</si>
  <si>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</si>
  <si>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</si>
  <si>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</si>
  <si>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</si>
  <si>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</si>
  <si>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</si>
  <si>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</si>
  <si>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</si>
  <si>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</si>
  <si>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</si>
  <si>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</si>
  <si>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</si>
  <si>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</si>
  <si>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</si>
  <si>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</si>
  <si>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</si>
  <si>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</si>
  <si>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</si>
  <si>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</si>
  <si>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</si>
  <si>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</si>
  <si>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</si>
  <si>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</si>
  <si>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</si>
  <si>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</si>
  <si>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</si>
  <si>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</si>
  <si>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</si>
  <si>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</si>
  <si>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</si>
  <si>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</si>
  <si>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</si>
  <si>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</si>
  <si>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</si>
  <si>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</si>
  <si>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</si>
  <si>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</si>
  <si>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</si>
  <si>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</si>
  <si>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</si>
  <si>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</si>
  <si>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</si>
  <si>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</si>
  <si>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</si>
  <si>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</si>
  <si>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</si>
  <si>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</si>
  <si>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</si>
  <si>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</si>
  <si>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</si>
  <si>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</si>
  <si>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</si>
  <si>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</si>
  <si>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</si>
  <si>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</si>
  <si>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</si>
  <si>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</si>
  <si>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</si>
  <si>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</si>
  <si>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</si>
  <si>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</si>
  <si>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</si>
  <si>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</si>
  <si>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</si>
  <si>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</si>
  <si>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</si>
  <si>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</si>
  <si>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</si>
  <si>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</si>
  <si>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</si>
  <si>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</si>
  <si>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</si>
  <si>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</si>
  <si>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</si>
  <si>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</si>
  <si>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</si>
  <si>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</si>
  <si>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</si>
  <si>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</si>
  <si>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</si>
  <si>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</si>
  <si>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</si>
  <si>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</si>
  <si>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</si>
  <si>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</si>
  <si>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</si>
  <si>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</si>
  <si>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</si>
  <si>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</si>
  <si>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</si>
  <si>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</si>
  <si>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</si>
  <si>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</si>
  <si>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</si>
  <si>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</si>
  <si>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</si>
  <si>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</si>
  <si>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</si>
  <si>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</si>
  <si>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</si>
  <si>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</si>
  <si>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</si>
  <si>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</si>
  <si>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</si>
  <si>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</si>
  <si>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</si>
  <si>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</si>
  <si>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</si>
  <si>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</si>
  <si>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</si>
  <si>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</si>
  <si>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</si>
  <si>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</si>
  <si>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</si>
  <si>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</si>
  <si>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</si>
  <si>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</si>
  <si>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</si>
  <si>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</si>
  <si>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</si>
  <si>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</si>
  <si>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</si>
  <si>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</si>
  <si>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</si>
  <si>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</si>
  <si>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</si>
  <si>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</si>
  <si>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</si>
  <si>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</si>
  <si>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</si>
  <si>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</si>
  <si>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</si>
  <si>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</si>
  <si>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</si>
  <si>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</si>
  <si>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</si>
  <si>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</si>
  <si>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</si>
  <si>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</si>
  <si>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</si>
  <si>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</si>
  <si>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</si>
  <si>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</si>
  <si>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</si>
  <si>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</si>
  <si>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</si>
  <si>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</si>
  <si>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</si>
  <si>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</si>
  <si>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</si>
  <si>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</si>
  <si>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</si>
  <si>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</si>
  <si>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</si>
  <si>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</si>
  <si>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</si>
  <si>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</si>
  <si>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</si>
  <si>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</si>
  <si>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</si>
  <si>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</si>
  <si>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</si>
  <si>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</si>
  <si>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</si>
  <si>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</si>
  <si>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</si>
  <si>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</si>
  <si>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</si>
  <si>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</si>
  <si>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</si>
  <si>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</si>
  <si>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</si>
  <si>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</si>
  <si>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</si>
  <si>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</si>
  <si>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</si>
  <si>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</si>
  <si>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</si>
  <si>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</si>
  <si>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</si>
  <si>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</si>
  <si>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</si>
  <si>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</si>
  <si>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</si>
  <si>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</si>
  <si>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</si>
  <si>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</si>
  <si>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</si>
  <si>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</si>
  <si>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</si>
  <si>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</si>
  <si>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</si>
  <si>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</si>
  <si>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</si>
  <si>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</si>
  <si>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</si>
  <si>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</si>
  <si>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</si>
  <si>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</si>
  <si>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</si>
  <si>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</si>
  <si>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</si>
  <si>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</si>
  <si>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</si>
  <si>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</si>
  <si>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</si>
  <si>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</si>
  <si>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</si>
  <si>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</si>
  <si>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</si>
  <si>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</si>
  <si>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</si>
  <si>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</si>
  <si>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</si>
  <si>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</si>
  <si>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</si>
  <si>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</si>
  <si>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</si>
  <si>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</si>
  <si>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</si>
  <si>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</si>
  <si>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</si>
  <si>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</si>
  <si>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</si>
  <si>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</si>
  <si>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</si>
  <si>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</si>
  <si>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</si>
  <si>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</si>
  <si>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</si>
  <si>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</si>
  <si>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</si>
  <si>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</si>
  <si>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</si>
  <si>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</si>
  <si>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</si>
  <si>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</si>
  <si>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</si>
  <si>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</si>
  <si>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</si>
  <si>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</si>
  <si>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</si>
  <si>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</si>
  <si>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</si>
  <si>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</si>
  <si>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</si>
  <si>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</si>
  <si>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</si>
  <si>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</si>
  <si>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</si>
  <si>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</si>
  <si>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</si>
  <si>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</si>
  <si>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</si>
  <si>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</si>
  <si>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</si>
  <si>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</si>
  <si>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</si>
  <si>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</si>
  <si>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</si>
  <si>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</si>
  <si>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</si>
  <si>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</si>
  <si>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</si>
  <si>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</si>
  <si>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</si>
  <si>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</si>
  <si>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</si>
  <si>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</si>
  <si>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</si>
  <si>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</si>
  <si>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</si>
  <si>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</si>
  <si>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</si>
  <si>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</si>
  <si>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</si>
  <si>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</si>
  <si>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</si>
  <si>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</si>
  <si>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</si>
  <si>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</si>
  <si>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</si>
  <si>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</si>
  <si>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</si>
  <si>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</si>
  <si>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</si>
  <si>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</si>
  <si>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</si>
  <si>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</si>
  <si>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</si>
  <si>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</si>
  <si>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</si>
  <si>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</si>
  <si>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</si>
  <si>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</si>
  <si>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</si>
  <si>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</si>
  <si>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</si>
  <si>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</si>
  <si>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</si>
  <si>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</si>
  <si>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</si>
  <si>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</si>
  <si>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</si>
  <si>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</si>
  <si>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</si>
  <si>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</si>
  <si>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</si>
  <si>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</si>
  <si>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</si>
  <si>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</si>
  <si>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</si>
  <si>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</si>
  <si>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</si>
  <si>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</si>
  <si>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</si>
  <si>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</si>
  <si>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</si>
  <si>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</si>
  <si>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</si>
  <si>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</si>
  <si>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</si>
  <si>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</si>
  <si>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</si>
  <si>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</si>
  <si>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</si>
  <si>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</si>
  <si>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</si>
  <si>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</si>
  <si>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</si>
  <si>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</si>
  <si>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</si>
  <si>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</si>
  <si>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</si>
  <si>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</si>
  <si>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</si>
  <si>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</si>
  <si>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</si>
  <si>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</si>
  <si>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</si>
  <si>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</si>
  <si>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</si>
  <si>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</si>
  <si>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</si>
  <si>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</si>
  <si>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</si>
  <si>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</si>
  <si>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</si>
  <si>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</si>
  <si>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</si>
  <si>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</si>
  <si>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</si>
  <si>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</si>
  <si>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</si>
  <si>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</si>
  <si>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</si>
  <si>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</si>
  <si>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</si>
  <si>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</si>
  <si>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</si>
  <si>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</si>
  <si>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</si>
  <si>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</si>
  <si>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</si>
  <si>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</si>
  <si>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</si>
  <si>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</si>
  <si>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</si>
  <si>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</si>
  <si>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</si>
  <si>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</si>
  <si>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</si>
  <si>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</si>
  <si>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</si>
  <si>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</si>
  <si>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</si>
  <si>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</si>
  <si>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</si>
  <si>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</si>
  <si>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</si>
  <si>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</si>
  <si>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</si>
  <si>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</si>
  <si>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</si>
  <si>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</si>
  <si>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</si>
  <si>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</si>
  <si>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</si>
  <si>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</si>
  <si>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</si>
  <si>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</si>
  <si>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</si>
  <si>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</si>
  <si>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</si>
  <si>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</si>
  <si>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</si>
  <si>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</si>
  <si>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</si>
  <si>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</si>
  <si>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</si>
  <si>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</si>
  <si>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</si>
  <si>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</si>
  <si>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</si>
  <si>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</si>
  <si>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</si>
  <si>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</si>
  <si>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</si>
  <si>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</si>
  <si>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</si>
  <si>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</si>
  <si>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</si>
  <si>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</si>
  <si>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</si>
  <si>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</si>
  <si>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</si>
  <si>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</si>
  <si>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</si>
  <si>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</si>
  <si>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</si>
  <si>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</si>
  <si>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</si>
  <si>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</si>
  <si>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</si>
  <si>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</si>
  <si>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</si>
  <si>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</si>
  <si>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</si>
  <si>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</si>
  <si>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</si>
  <si>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</si>
  <si>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</si>
  <si>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</si>
  <si>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</si>
  <si>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</si>
  <si>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</si>
  <si>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</si>
  <si>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</si>
  <si>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</si>
  <si>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</si>
  <si>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</si>
  <si>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</si>
  <si>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</si>
  <si>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</si>
  <si>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</si>
  <si>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</si>
  <si>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</si>
  <si>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</si>
  <si>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</si>
  <si>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</si>
  <si>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</si>
  <si>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</si>
  <si>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</si>
  <si>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</si>
  <si>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</si>
  <si>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</si>
  <si>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</si>
  <si>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</si>
  <si>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</si>
  <si>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</si>
  <si>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</si>
  <si>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</si>
  <si>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</si>
  <si>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</si>
  <si>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</si>
  <si>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</si>
  <si>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</si>
  <si>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</si>
  <si>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</si>
  <si>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</si>
  <si>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</si>
  <si>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</si>
  <si>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</si>
  <si>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</si>
  <si>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</si>
  <si>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</si>
  <si>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</si>
  <si>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</si>
  <si>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</si>
  <si>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</si>
  <si>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</si>
  <si>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</si>
  <si>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</si>
  <si>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</si>
  <si>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</si>
  <si>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</si>
  <si>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</si>
  <si>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</si>
  <si>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</si>
  <si>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</si>
  <si>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</si>
  <si>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</si>
  <si>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</si>
  <si>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</si>
  <si>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</si>
  <si>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</si>
  <si>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</si>
  <si>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</si>
  <si>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</si>
  <si>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</si>
  <si>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</si>
  <si>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</si>
  <si>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</si>
  <si>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</si>
  <si>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</si>
  <si>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</si>
  <si>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</si>
  <si>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</si>
  <si>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</si>
  <si>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</si>
  <si>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</si>
  <si>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</si>
  <si>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</si>
  <si>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</si>
  <si>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</si>
  <si>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</si>
  <si>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</si>
  <si>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</si>
  <si>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</si>
  <si>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</si>
  <si>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</si>
  <si>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</si>
  <si>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</si>
  <si>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</si>
  <si>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</si>
  <si>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</si>
  <si>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</si>
  <si>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</si>
  <si>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</si>
  <si>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</si>
  <si>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</si>
  <si>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</si>
  <si>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</si>
  <si>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</si>
  <si>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</si>
  <si>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</si>
  <si>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</si>
  <si>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</si>
  <si>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</si>
  <si>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</si>
  <si>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</si>
  <si>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</si>
  <si>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</si>
  <si>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</si>
  <si>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</si>
  <si>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</si>
  <si>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</si>
  <si>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</si>
  <si>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</si>
  <si>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</si>
  <si>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</si>
  <si>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</si>
  <si>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</si>
  <si>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</si>
  <si>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</si>
  <si>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</si>
  <si>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</si>
  <si>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</si>
  <si>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</si>
  <si>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</si>
  <si>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</si>
  <si>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</si>
  <si>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</si>
  <si>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</si>
  <si>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</si>
  <si>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</si>
  <si>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</si>
  <si>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</si>
  <si>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</si>
  <si>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</si>
  <si>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</si>
  <si>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</si>
  <si>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</si>
  <si>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</si>
  <si>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</si>
  <si>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</si>
  <si>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</si>
  <si>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</si>
  <si>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</si>
  <si>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</si>
  <si>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</si>
  <si>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</si>
  <si>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</si>
  <si>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</si>
  <si>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</si>
  <si>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</si>
  <si>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</si>
  <si>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</si>
  <si>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</si>
  <si>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</si>
  <si>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</si>
  <si>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</si>
  <si>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</si>
  <si>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</si>
  <si>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</si>
  <si>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</si>
  <si>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</si>
  <si>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</si>
  <si>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</si>
  <si>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</si>
  <si>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</si>
  <si>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</si>
  <si>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</si>
  <si>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</si>
  <si>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</si>
  <si>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</si>
  <si>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</si>
  <si>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</si>
  <si>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</si>
  <si>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</si>
  <si>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</si>
  <si>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</si>
  <si>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</si>
  <si>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</si>
  <si>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</si>
  <si>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</si>
  <si>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</si>
  <si>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</si>
  <si>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</si>
  <si>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</si>
  <si>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</si>
  <si>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</si>
  <si>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</si>
  <si>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</si>
  <si>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</si>
  <si>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</si>
  <si>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</si>
  <si>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</si>
  <si>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</si>
  <si>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</si>
  <si>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</si>
  <si>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</si>
  <si>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</si>
  <si>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</si>
  <si>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</si>
  <si>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</si>
  <si>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</si>
  <si>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</si>
  <si>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</si>
  <si>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</si>
  <si>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</si>
  <si>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</si>
  <si>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</si>
  <si>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</si>
  <si>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</si>
  <si>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</si>
  <si>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</si>
  <si>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</si>
  <si>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</si>
  <si>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</si>
  <si>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</si>
  <si>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</si>
  <si>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</si>
  <si>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</si>
  <si>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</si>
  <si>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</si>
  <si>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</si>
  <si>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</si>
  <si>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</si>
  <si>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</si>
  <si>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</si>
  <si>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</si>
  <si>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</si>
  <si>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</si>
  <si>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</si>
  <si>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</si>
  <si>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</si>
  <si>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</si>
  <si>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</si>
  <si>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</si>
  <si>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</si>
  <si>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</si>
  <si>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</si>
  <si>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</si>
  <si>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</si>
  <si>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</si>
  <si>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</si>
  <si>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</si>
  <si>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</si>
  <si>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</si>
  <si>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</si>
  <si>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</si>
  <si>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</si>
  <si>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</si>
  <si>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</si>
  <si>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</si>
  <si>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</si>
  <si>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</si>
  <si>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</si>
  <si>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</si>
  <si>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</si>
  <si>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</si>
  <si>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</si>
  <si>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</si>
  <si>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</si>
  <si>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</si>
  <si>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</si>
  <si>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</si>
  <si>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</si>
  <si>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</si>
  <si>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</si>
  <si>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</si>
  <si>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</si>
  <si>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</si>
  <si>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</si>
  <si>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</si>
  <si>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</si>
  <si>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</si>
  <si>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</si>
  <si>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</si>
  <si>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</si>
  <si>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</si>
  <si>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</si>
  <si>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</si>
  <si>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</si>
  <si>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</si>
  <si>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</si>
  <si>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</si>
  <si>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</si>
  <si>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</si>
  <si>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</si>
  <si>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</si>
  <si>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</si>
  <si>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</si>
  <si>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</si>
  <si>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</si>
  <si>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</si>
  <si>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</si>
  <si>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</si>
  <si>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</si>
  <si>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</si>
  <si>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</si>
  <si>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</si>
  <si>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</si>
  <si>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</si>
  <si>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</si>
  <si>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</si>
  <si>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</si>
  <si>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</si>
  <si>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</si>
  <si>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</si>
  <si>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</si>
  <si>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</si>
  <si>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</si>
  <si>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</si>
  <si>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</si>
  <si>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</si>
  <si>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</si>
  <si>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</si>
  <si>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</si>
  <si>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</si>
  <si>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</si>
  <si>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</si>
  <si>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</si>
  <si>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</si>
  <si>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</si>
  <si>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</si>
  <si>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</si>
  <si>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</si>
  <si>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</si>
  <si>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</si>
  <si>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</si>
  <si>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</si>
  <si>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</si>
  <si>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</si>
  <si>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</si>
  <si>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</si>
  <si>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</si>
  <si>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</si>
  <si>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</si>
  <si>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</si>
  <si>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</si>
  <si>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</si>
  <si>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</si>
  <si>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</si>
  <si>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</si>
  <si>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</si>
  <si>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</si>
  <si>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</si>
  <si>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</si>
  <si>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</si>
  <si>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</si>
  <si>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</si>
  <si>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</si>
  <si>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</si>
  <si>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</si>
  <si>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</si>
  <si>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</si>
  <si>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</si>
  <si>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</si>
  <si>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</si>
  <si>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</si>
  <si>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</si>
  <si>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</si>
  <si>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</si>
  <si>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</si>
  <si>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</si>
  <si>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</si>
  <si>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</si>
  <si>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</si>
  <si>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</si>
  <si>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</si>
  <si>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</si>
  <si>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</si>
  <si>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</si>
  <si>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</si>
  <si>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</si>
  <si>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</si>
  <si>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</si>
  <si>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</si>
  <si>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</si>
  <si>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</si>
  <si>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</si>
  <si>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</si>
  <si>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</si>
  <si>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</si>
  <si>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</si>
  <si>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</si>
  <si>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</si>
  <si>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</si>
  <si>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</si>
  <si>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</si>
  <si>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</si>
  <si>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</si>
  <si>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</si>
  <si>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</si>
  <si>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</si>
  <si>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</si>
  <si>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</si>
  <si>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</si>
  <si>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</si>
  <si>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</si>
  <si>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</si>
  <si>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</si>
  <si>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</si>
  <si>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</si>
  <si>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</si>
  <si>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</si>
  <si>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</si>
  <si>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</si>
  <si>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</si>
  <si>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</si>
  <si>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</si>
  <si>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</si>
  <si>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</si>
  <si>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</si>
  <si>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</si>
  <si>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</si>
  <si>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</si>
  <si>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</si>
  <si>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</si>
  <si>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</si>
  <si>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</si>
  <si>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</si>
  <si>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</si>
  <si>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</si>
  <si>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</si>
  <si>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</si>
  <si>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</si>
  <si>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</si>
  <si>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</si>
  <si>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</si>
  <si>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</si>
  <si>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</si>
  <si>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</si>
  <si>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</si>
  <si>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</si>
  <si>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</si>
  <si>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</si>
  <si>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</si>
  <si>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</si>
  <si>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</si>
  <si>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</si>
  <si>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</si>
  <si>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</si>
  <si>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</si>
  <si>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</si>
  <si>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</si>
  <si>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</si>
  <si>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</si>
  <si>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</si>
  <si>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</si>
  <si>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</si>
  <si>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</si>
  <si>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</si>
  <si>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</si>
  <si>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</si>
  <si>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</si>
  <si>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</si>
  <si>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</si>
  <si>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</si>
  <si>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</si>
  <si>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</si>
  <si>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</si>
  <si>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</si>
  <si>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</si>
  <si>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</si>
  <si>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</si>
  <si>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</si>
  <si>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</si>
  <si>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</si>
  <si>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</si>
  <si>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</si>
  <si>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</si>
  <si>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</si>
  <si>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</si>
  <si>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</si>
  <si>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</si>
  <si>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</si>
  <si>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</si>
  <si>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</si>
  <si>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</si>
  <si>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</si>
  <si>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</si>
  <si>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</si>
  <si>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</si>
  <si>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</si>
  <si>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</si>
  <si>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</si>
  <si>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</si>
  <si>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</si>
  <si>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</si>
  <si>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</si>
  <si>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</si>
  <si>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</si>
  <si>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</si>
  <si>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</si>
  <si>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</si>
  <si>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</si>
  <si>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</si>
  <si>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</si>
  <si>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</si>
  <si>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</si>
  <si>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</si>
  <si>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</si>
  <si>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</si>
  <si>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</si>
  <si>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</si>
  <si>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</si>
  <si>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</si>
  <si>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</si>
  <si>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</si>
  <si>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</si>
  <si>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</si>
  <si>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</si>
  <si>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</si>
  <si>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</si>
  <si>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</si>
  <si>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</si>
  <si>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</si>
  <si>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</si>
  <si>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</si>
  <si>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</si>
  <si>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</si>
  <si>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</si>
  <si>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</si>
  <si>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</si>
  <si>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</si>
  <si>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</si>
  <si>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</si>
  <si>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</si>
  <si>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</si>
  <si>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</si>
  <si>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</si>
  <si>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</si>
  <si>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</si>
  <si>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</si>
  <si>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</si>
  <si>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</si>
  <si>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</si>
  <si>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</si>
  <si>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</si>
  <si>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</si>
  <si>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</si>
  <si>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</si>
  <si>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</si>
  <si>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</si>
  <si>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</si>
  <si>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</si>
  <si>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</si>
  <si>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</si>
  <si>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</si>
  <si>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</si>
  <si>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</si>
  <si>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</si>
  <si>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</si>
  <si>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</si>
  <si>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</si>
  <si>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</si>
  <si>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</si>
  <si>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</si>
  <si>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</si>
  <si>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</si>
  <si>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</si>
  <si>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</si>
  <si>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</si>
  <si>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</si>
  <si>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</si>
  <si>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</si>
  <si>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</si>
  <si>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</si>
  <si>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</si>
  <si>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</si>
  <si>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</si>
  <si>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</si>
  <si>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</si>
  <si>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</si>
  <si>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</si>
  <si>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</si>
  <si>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</si>
  <si>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</si>
  <si>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</si>
  <si>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</si>
  <si>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</si>
  <si>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</si>
  <si>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</si>
  <si>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</si>
  <si>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</si>
  <si>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</si>
  <si>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</si>
  <si>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</si>
  <si>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</si>
  <si>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</si>
  <si>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</si>
  <si>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</si>
  <si>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</si>
  <si>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</si>
  <si>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</si>
  <si>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</si>
  <si>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</si>
  <si>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</si>
  <si>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</si>
  <si>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</si>
  <si>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</si>
  <si>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</si>
  <si>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</si>
  <si>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</si>
  <si>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</si>
  <si>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</si>
  <si>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</si>
  <si>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</si>
  <si>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</si>
  <si>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</si>
  <si>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</si>
  <si>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</si>
  <si>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</si>
  <si>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</si>
  <si>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</si>
  <si>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</si>
  <si>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</si>
  <si>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</si>
  <si>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</si>
  <si>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</si>
  <si>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</si>
  <si>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</si>
  <si>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</si>
  <si>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</si>
  <si>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</si>
  <si>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</si>
  <si>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</si>
  <si>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</si>
  <si>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</si>
  <si>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</si>
  <si>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</si>
  <si>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</si>
  <si>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</si>
  <si>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</si>
  <si>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</si>
  <si>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</si>
  <si>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</si>
  <si>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</si>
  <si>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</si>
  <si>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</si>
  <si>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</si>
  <si>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</si>
  <si>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</si>
  <si>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</si>
  <si>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</si>
  <si>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</si>
  <si>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</si>
  <si>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</si>
  <si>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</si>
  <si>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</si>
  <si>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</si>
  <si>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</si>
  <si>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</si>
  <si>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</si>
  <si>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</si>
  <si>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</si>
  <si>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</si>
  <si>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</si>
  <si>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</si>
  <si>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</si>
  <si>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</si>
  <si>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</si>
  <si>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</si>
  <si>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</si>
  <si>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</si>
  <si>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</si>
  <si>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</si>
  <si>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</si>
  <si>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</si>
  <si>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</si>
  <si>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</si>
  <si>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</si>
  <si>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</si>
  <si>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</si>
  <si>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</si>
  <si>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</si>
  <si>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</si>
  <si>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</si>
  <si>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</si>
  <si>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</si>
  <si>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</si>
  <si>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</si>
  <si>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</si>
  <si>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</si>
  <si>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</si>
  <si>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</si>
  <si>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</si>
  <si>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</si>
  <si>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</si>
  <si>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</si>
  <si>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</si>
  <si>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</si>
  <si>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</si>
  <si>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</si>
  <si>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</si>
  <si>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</si>
  <si>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</si>
  <si>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</si>
  <si>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</si>
  <si>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</si>
  <si>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</si>
  <si>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</si>
  <si>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</si>
  <si>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</si>
  <si>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</si>
  <si>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</si>
  <si>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</si>
  <si>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</si>
  <si>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</si>
  <si>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</si>
  <si>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</si>
  <si>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</si>
  <si>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</si>
  <si>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</si>
  <si>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</si>
  <si>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</si>
  <si>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</si>
  <si>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</si>
  <si>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</si>
  <si>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</si>
  <si>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</si>
  <si>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</si>
  <si>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</si>
  <si>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</si>
  <si>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</si>
  <si>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</si>
  <si>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</si>
  <si>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</si>
  <si>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</si>
  <si>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</si>
  <si>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</si>
  <si>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</si>
  <si>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</si>
  <si>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</si>
  <si>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</si>
  <si>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</si>
  <si>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</si>
  <si>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</si>
  <si>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</si>
  <si>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</si>
  <si>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</si>
  <si>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</si>
  <si>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</si>
  <si>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</si>
  <si>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</si>
  <si>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</si>
  <si>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</si>
  <si>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</si>
  <si>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</si>
  <si>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</si>
  <si>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</si>
  <si>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</si>
  <si>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</si>
  <si>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</si>
  <si>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</si>
  <si>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</si>
  <si>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</si>
  <si>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</si>
  <si>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</si>
  <si>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</si>
  <si>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</si>
  <si>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</si>
  <si>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</si>
  <si>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</si>
  <si>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</si>
  <si>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</si>
  <si>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</si>
  <si>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</si>
  <si>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</si>
  <si>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</si>
  <si>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</si>
  <si>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</si>
  <si>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</si>
  <si>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</si>
  <si>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</si>
  <si>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</si>
  <si>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</si>
  <si>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</si>
  <si>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</si>
  <si>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</si>
  <si>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</si>
  <si>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</si>
  <si>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</si>
  <si>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</si>
  <si>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</si>
  <si>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</si>
  <si>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</si>
  <si>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</si>
  <si>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</si>
  <si>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</si>
  <si>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</si>
  <si>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</si>
  <si>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</si>
  <si>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</si>
  <si>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</si>
  <si>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</si>
  <si>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</si>
  <si>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</si>
  <si>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</si>
  <si>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</si>
  <si>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</si>
  <si>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</si>
  <si>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</si>
  <si>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</si>
  <si>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</si>
  <si>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</si>
  <si>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</si>
  <si>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</si>
  <si>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</si>
  <si>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</si>
  <si>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</si>
  <si>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</si>
  <si>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</si>
  <si>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</si>
  <si>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</si>
  <si>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</si>
  <si>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</si>
  <si>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</si>
  <si>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</si>
  <si>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</si>
  <si>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</si>
  <si>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</si>
  <si>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</si>
  <si>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</si>
  <si>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</si>
  <si>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</si>
  <si>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</si>
  <si>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</si>
  <si>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</si>
  <si>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</si>
  <si>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</si>
  <si>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</si>
  <si>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</si>
  <si>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</si>
  <si>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</si>
  <si>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</si>
  <si>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</si>
  <si>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</si>
  <si>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</si>
  <si>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</si>
  <si>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</si>
  <si>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</si>
  <si>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</si>
  <si>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</si>
  <si>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</si>
  <si>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</si>
  <si>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</si>
  <si>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</si>
  <si>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</si>
  <si>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</si>
  <si>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</si>
  <si>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</si>
  <si>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</si>
  <si>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</si>
  <si>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</si>
  <si>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</si>
  <si>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</si>
  <si>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</si>
  <si>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</si>
  <si>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</si>
  <si>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</si>
  <si>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</si>
  <si>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</si>
  <si>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</si>
  <si>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</si>
  <si>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</si>
  <si>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</si>
  <si>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</si>
  <si>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</si>
  <si>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</si>
  <si>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</si>
  <si>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</si>
  <si>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</si>
  <si>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</si>
  <si>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</si>
  <si>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</si>
  <si>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</si>
  <si>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</si>
  <si>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</si>
  <si>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</si>
  <si>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</si>
  <si>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</si>
  <si>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</si>
  <si>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</si>
  <si>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</si>
  <si>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</si>
  <si>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</si>
  <si>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</si>
  <si>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</si>
  <si>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</si>
  <si>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</si>
  <si>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</si>
  <si>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</si>
  <si>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</si>
  <si>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</si>
  <si>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</si>
  <si>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</si>
  <si>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</si>
  <si>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</si>
  <si>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</si>
  <si>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</si>
  <si>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</si>
  <si>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</si>
  <si>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</si>
  <si>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</si>
  <si>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</si>
  <si>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</si>
  <si>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</si>
  <si>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</si>
  <si>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</si>
  <si>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</si>
  <si>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</si>
  <si>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</si>
  <si>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</si>
  <si>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</si>
  <si>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</si>
  <si>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</si>
  <si>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</si>
  <si>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</si>
  <si>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</si>
  <si>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</si>
  <si>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</si>
  <si>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</si>
  <si>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</si>
  <si>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</si>
  <si>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</si>
  <si>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</si>
  <si>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</si>
  <si>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</si>
  <si>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</si>
  <si>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</si>
  <si>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</si>
  <si>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</si>
  <si>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</si>
  <si>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</si>
  <si>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</si>
  <si>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</si>
  <si>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</si>
  <si>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</si>
  <si>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</si>
  <si>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</si>
  <si>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</si>
  <si>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</si>
  <si>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</si>
  <si>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</si>
  <si>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</si>
  <si>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</si>
  <si>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</si>
  <si>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</si>
  <si>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</si>
  <si>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</si>
  <si>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</si>
  <si>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</si>
  <si>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</si>
  <si>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</si>
  <si>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</si>
  <si>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</si>
  <si>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</si>
  <si>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</si>
  <si>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</si>
  <si>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</si>
  <si>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</si>
  <si>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</si>
  <si>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</si>
  <si>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</si>
  <si>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</si>
  <si>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</si>
  <si>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</si>
  <si>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</si>
  <si>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</si>
  <si>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</si>
  <si>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</si>
  <si>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</si>
  <si>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</si>
  <si>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</si>
  <si>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</si>
  <si>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</si>
  <si>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</si>
  <si>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</si>
  <si>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</si>
  <si>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</si>
  <si>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</si>
  <si>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</si>
  <si>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</si>
  <si>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</si>
  <si>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</si>
  <si>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</si>
  <si>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</si>
  <si>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</si>
  <si>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</si>
  <si>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</si>
  <si>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</si>
  <si>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</si>
  <si>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</si>
  <si>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</si>
  <si>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</si>
  <si>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</si>
  <si>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</si>
  <si>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</si>
  <si>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</si>
  <si>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</si>
  <si>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</si>
  <si>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</si>
  <si>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</si>
  <si>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</si>
  <si>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</si>
  <si>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</si>
  <si>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</si>
  <si>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</si>
  <si>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</si>
  <si>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</si>
  <si>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</si>
  <si>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</si>
  <si>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</si>
  <si>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</si>
  <si>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</si>
  <si>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</si>
  <si>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</si>
  <si>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</si>
  <si>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</si>
  <si>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</si>
  <si>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</si>
  <si>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</si>
  <si>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</si>
  <si>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</si>
  <si>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</si>
  <si>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</si>
  <si>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</si>
  <si>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</si>
  <si>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</si>
  <si>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</si>
  <si>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</si>
  <si>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</si>
  <si>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</si>
  <si>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</si>
  <si>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</si>
  <si>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</si>
  <si>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</si>
  <si>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</si>
  <si>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</si>
  <si>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</si>
  <si>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</si>
  <si>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</si>
  <si>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</si>
  <si>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</si>
  <si>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</si>
  <si>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</si>
  <si>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</si>
  <si>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</si>
  <si>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</si>
  <si>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</si>
  <si>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</si>
  <si>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</si>
  <si>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</si>
  <si>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</si>
  <si>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</si>
  <si>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</si>
  <si>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</si>
  <si>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</si>
  <si>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</si>
  <si>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</si>
  <si>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</si>
  <si>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</si>
  <si>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</si>
  <si>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</si>
  <si>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</si>
  <si>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</si>
  <si>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</si>
  <si>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</si>
  <si>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</si>
  <si>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</si>
  <si>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</si>
  <si>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</si>
  <si>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</si>
  <si>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</si>
  <si>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</si>
  <si>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</si>
  <si>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</si>
  <si>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</si>
  <si>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</si>
  <si>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</si>
  <si>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</si>
  <si>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</si>
  <si>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</si>
  <si>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</si>
  <si>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</si>
  <si>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</si>
  <si>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</si>
  <si>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</si>
  <si>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</si>
  <si>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</si>
  <si>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</si>
  <si>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</si>
  <si>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</si>
  <si>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</si>
  <si>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</si>
  <si>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</si>
  <si>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</si>
  <si>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</si>
  <si>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</si>
  <si>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</si>
  <si>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</si>
  <si>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</si>
  <si>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</si>
  <si>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</si>
  <si>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</si>
  <si>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</si>
  <si>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</si>
  <si>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</si>
  <si>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</si>
  <si>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</si>
  <si>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</si>
  <si>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</si>
  <si>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</si>
  <si>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</si>
  <si>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</si>
  <si>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</si>
  <si>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</si>
  <si>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</si>
  <si>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</si>
  <si>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</si>
  <si>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</si>
  <si>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</si>
  <si>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</si>
  <si>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</si>
  <si>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</si>
  <si>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</si>
  <si>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</si>
  <si>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</si>
  <si>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</si>
  <si>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</si>
  <si>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</si>
  <si>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</si>
  <si>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</si>
  <si>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</si>
  <si>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</si>
  <si>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</si>
  <si>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</si>
  <si>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</si>
  <si>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</si>
  <si>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</si>
  <si>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</si>
  <si>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</si>
  <si>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</si>
  <si>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</si>
  <si>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</si>
  <si>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</si>
  <si>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</si>
  <si>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</si>
  <si>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</si>
  <si>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</si>
  <si>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</si>
  <si>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</si>
  <si>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</si>
  <si>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</si>
  <si>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</si>
  <si>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</si>
  <si>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</si>
  <si>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</si>
  <si>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</si>
  <si>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</si>
  <si>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</si>
  <si>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</si>
  <si>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</si>
  <si>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</si>
  <si>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</si>
  <si>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</si>
  <si>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</si>
  <si>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</si>
  <si>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</si>
  <si>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</si>
  <si>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</si>
  <si>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</si>
  <si>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</si>
  <si>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</si>
  <si>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</si>
  <si>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</si>
  <si>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</si>
  <si>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</si>
  <si>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</si>
  <si>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</si>
  <si>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</si>
  <si>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</si>
  <si>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</si>
  <si>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</si>
  <si>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</si>
  <si>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</si>
  <si>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</si>
  <si>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</si>
  <si>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</si>
  <si>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</si>
  <si>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</si>
  <si>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</si>
  <si>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</si>
  <si>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</si>
  <si>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</si>
  <si>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</si>
  <si>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</si>
  <si>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</si>
  <si>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</si>
  <si>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</si>
  <si>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</si>
  <si>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</si>
  <si>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</si>
  <si>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</si>
  <si>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</si>
  <si>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</si>
  <si>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</si>
  <si>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</si>
  <si>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</si>
  <si>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</si>
  <si>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</si>
  <si>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</si>
  <si>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</si>
  <si>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</si>
  <si>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</si>
  <si>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</si>
  <si>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</si>
  <si>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</si>
  <si>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</si>
  <si>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</si>
  <si>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</si>
  <si>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</si>
  <si>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</si>
  <si>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</si>
  <si>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</si>
  <si>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</si>
  <si>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</si>
  <si>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</si>
  <si>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</si>
  <si>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</si>
  <si>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</si>
  <si>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</si>
  <si>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</si>
  <si>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</si>
  <si>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</si>
  <si>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</si>
  <si>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</si>
  <si>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</si>
  <si>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</si>
  <si>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</si>
  <si>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</si>
  <si>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</si>
  <si>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</si>
  <si>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</si>
  <si>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</si>
  <si>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</si>
  <si>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</si>
  <si>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</si>
  <si>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</si>
  <si>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</si>
  <si>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</si>
  <si>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</si>
  <si>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</si>
  <si>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</si>
  <si>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</si>
  <si>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</si>
  <si>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</si>
  <si>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</si>
  <si>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</si>
  <si>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</si>
  <si>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</si>
  <si>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</si>
  <si>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</si>
  <si>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</si>
  <si>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</si>
  <si>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</si>
  <si>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</si>
  <si>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</si>
  <si>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</si>
  <si>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</si>
  <si>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</si>
  <si>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</si>
  <si>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</si>
  <si>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</si>
  <si>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</si>
  <si>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</si>
  <si>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</si>
  <si>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</si>
  <si>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</si>
  <si>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</si>
  <si>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</si>
  <si>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</si>
  <si>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</si>
  <si>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</si>
  <si>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</si>
  <si>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</si>
  <si>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</si>
  <si>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</si>
  <si>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</si>
  <si>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</si>
  <si>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</si>
  <si>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</si>
  <si>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</si>
  <si>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</si>
  <si>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</si>
  <si>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</si>
  <si>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</si>
  <si>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</si>
  <si>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</si>
  <si>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</si>
  <si>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</si>
  <si>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</si>
  <si>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</si>
  <si>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</si>
  <si>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</si>
  <si>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</si>
  <si>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</si>
  <si>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</si>
  <si>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</si>
  <si>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</si>
  <si>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</si>
  <si>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</si>
  <si>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</si>
  <si>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</si>
  <si>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</si>
  <si>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</si>
  <si>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</si>
  <si>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</si>
  <si>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</si>
  <si>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</si>
  <si>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</si>
  <si>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</si>
  <si>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</si>
  <si>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</si>
  <si>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</si>
  <si>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</si>
  <si>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</si>
  <si>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</si>
  <si>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</si>
  <si>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</si>
  <si>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</si>
  <si>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</si>
  <si>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</si>
  <si>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</si>
  <si>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</si>
  <si>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</si>
  <si>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</si>
  <si>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</si>
  <si>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</si>
  <si>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</si>
  <si>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</si>
  <si>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</si>
  <si>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</si>
  <si>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</si>
  <si>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</si>
  <si>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</si>
  <si>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</si>
  <si>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</si>
  <si>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</si>
  <si>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</si>
  <si>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</si>
  <si>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</si>
  <si>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</si>
  <si>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</si>
  <si>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</si>
  <si>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</si>
  <si>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</si>
  <si>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</si>
  <si>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</si>
  <si>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</si>
  <si>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</si>
  <si>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</si>
  <si>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</si>
  <si>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</si>
  <si>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</si>
  <si>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</si>
  <si>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</si>
  <si>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</si>
  <si>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</si>
  <si>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</si>
  <si>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</si>
  <si>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</si>
  <si>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</si>
  <si>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</si>
  <si>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</si>
  <si>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</si>
  <si>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</si>
  <si>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</si>
  <si>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</si>
  <si>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</si>
  <si>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</si>
  <si>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</si>
  <si>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</si>
  <si>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</si>
  <si>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</si>
  <si>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</si>
  <si>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</si>
  <si>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</si>
  <si>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</si>
  <si>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</si>
  <si>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</si>
  <si>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</si>
  <si>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</si>
  <si>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</si>
  <si>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</si>
  <si>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</si>
  <si>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</si>
  <si>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</si>
  <si>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</si>
  <si>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</si>
  <si>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</si>
  <si>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</si>
  <si>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</si>
  <si>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</si>
  <si>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</si>
  <si>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</si>
  <si>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</si>
  <si>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</si>
  <si>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</si>
  <si>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</si>
  <si>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</si>
  <si>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</si>
  <si>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</si>
  <si>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</si>
  <si>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</si>
  <si>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</si>
  <si>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</si>
  <si>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</si>
  <si>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</si>
  <si>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</si>
  <si>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</si>
  <si>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</si>
  <si>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</si>
  <si>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</si>
  <si>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</si>
  <si>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</si>
  <si>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</si>
  <si>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</si>
  <si>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</si>
  <si>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</si>
  <si>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</si>
  <si>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</si>
  <si>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</si>
  <si>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</si>
  <si>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</si>
  <si>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</si>
  <si>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</si>
  <si>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</si>
  <si>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</si>
  <si>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</si>
  <si>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</si>
  <si>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</si>
  <si>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</si>
  <si>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</si>
  <si>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</si>
  <si>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</si>
  <si>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</si>
  <si>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</si>
  <si>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</si>
  <si>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</si>
  <si>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</si>
  <si>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</si>
  <si>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</si>
  <si>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</si>
  <si>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</si>
  <si>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</si>
  <si>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</si>
  <si>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</si>
  <si>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</si>
  <si>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</si>
  <si>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</si>
  <si>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</si>
  <si>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</si>
  <si>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</si>
  <si>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</si>
  <si>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</si>
  <si>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</si>
  <si>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</si>
  <si>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</si>
  <si>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</si>
  <si>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</si>
  <si>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</si>
  <si>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</si>
  <si>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</si>
  <si>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</si>
  <si>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</si>
  <si>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</si>
  <si>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</si>
  <si>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</si>
  <si>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</si>
  <si>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</si>
  <si>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</si>
  <si>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</si>
  <si>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</si>
  <si>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</si>
  <si>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</si>
  <si>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</si>
  <si>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</si>
  <si>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</si>
  <si>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</si>
  <si>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</si>
  <si>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</si>
  <si>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</si>
  <si>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</si>
  <si>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</si>
  <si>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</si>
  <si>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</si>
  <si>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</si>
  <si>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</si>
  <si>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</si>
  <si>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</si>
  <si>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</si>
  <si>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</si>
  <si>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</si>
  <si>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</si>
  <si>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</si>
  <si>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</si>
  <si>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</si>
  <si>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</si>
  <si>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</si>
  <si>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</si>
  <si>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</si>
  <si>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</si>
  <si>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</si>
  <si>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</si>
  <si>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</si>
  <si>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</si>
  <si>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</si>
  <si>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</si>
  <si>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</si>
  <si>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</si>
  <si>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</si>
  <si>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</si>
  <si>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</si>
  <si>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</si>
  <si>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</si>
  <si>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</si>
  <si>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</si>
  <si>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</si>
  <si>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</si>
  <si>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</si>
  <si>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</si>
  <si>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</si>
  <si>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</si>
  <si>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</si>
  <si>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</si>
  <si>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</si>
  <si>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</si>
  <si>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</si>
  <si>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</si>
  <si>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</si>
  <si>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</si>
  <si>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</si>
  <si>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</si>
  <si>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</si>
  <si>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</si>
  <si>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</si>
  <si>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</si>
  <si>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</si>
  <si>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</si>
  <si>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</si>
  <si>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</si>
  <si>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</si>
  <si>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</si>
  <si>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</si>
  <si>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</si>
  <si>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</si>
  <si>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</si>
  <si>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</si>
  <si>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</si>
  <si>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</si>
  <si>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</si>
  <si>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</si>
  <si>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</si>
  <si>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</si>
  <si>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</si>
  <si>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</si>
  <si>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</si>
  <si>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</si>
  <si>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</si>
  <si>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</si>
  <si>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</si>
  <si>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</si>
  <si>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</si>
  <si>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</si>
  <si>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</si>
  <si>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</si>
  <si>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</si>
  <si>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</si>
  <si>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</si>
  <si>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</si>
  <si>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</si>
  <si>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</si>
  <si>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</si>
  <si>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</si>
  <si>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</si>
  <si>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</si>
  <si>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</si>
  <si>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</si>
  <si>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</si>
  <si>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</si>
  <si>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</si>
  <si>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</si>
  <si>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</si>
  <si>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</si>
  <si>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</si>
  <si>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</si>
  <si>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</si>
  <si>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</si>
  <si>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</si>
  <si>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</si>
  <si>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</si>
  <si>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</si>
  <si>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</si>
  <si>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</si>
  <si>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</si>
  <si>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</si>
  <si>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</si>
  <si>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</si>
  <si>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</si>
  <si>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</si>
  <si>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</si>
  <si>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</si>
  <si>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</si>
  <si>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</si>
  <si>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</si>
  <si>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</si>
  <si>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</si>
  <si>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</si>
  <si>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</si>
  <si>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</si>
  <si>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</si>
  <si>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</si>
  <si>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</si>
  <si>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</si>
  <si>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</si>
  <si>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</si>
  <si>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</si>
  <si>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</si>
  <si>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</si>
  <si>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</si>
  <si>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</si>
  <si>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</si>
  <si>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</si>
  <si>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</si>
  <si>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</si>
  <si>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</si>
  <si>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</si>
  <si>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</si>
  <si>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</si>
  <si>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</si>
  <si>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</si>
  <si>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</si>
  <si>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</si>
  <si>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</si>
  <si>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</si>
  <si>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</si>
  <si>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</si>
  <si>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</si>
  <si>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</si>
  <si>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</si>
  <si>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</si>
  <si>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</si>
  <si>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</si>
  <si>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</si>
  <si>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</si>
  <si>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</si>
  <si>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</si>
  <si>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</si>
  <si>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</si>
  <si>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</si>
  <si>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</si>
  <si>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</si>
  <si>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</si>
  <si>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</si>
  <si>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</si>
  <si>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</si>
  <si>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</si>
  <si>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</si>
  <si>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</si>
  <si>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</si>
  <si>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</si>
  <si>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</si>
  <si>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</si>
  <si>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</si>
  <si>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</si>
  <si>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</si>
  <si>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</si>
  <si>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</si>
  <si>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</si>
  <si>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</si>
  <si>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</si>
  <si>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</si>
  <si>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</si>
  <si>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</si>
  <si>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</si>
  <si>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</si>
  <si>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</si>
  <si>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</si>
  <si>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</si>
  <si>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</si>
  <si>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</si>
  <si>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</si>
  <si>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</si>
  <si>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</si>
  <si>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</si>
  <si>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</si>
  <si>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</si>
  <si>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</si>
  <si>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</si>
  <si>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</si>
  <si>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</si>
  <si>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</si>
  <si>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</si>
  <si>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</si>
  <si>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</si>
  <si>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</si>
  <si>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</si>
  <si>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</si>
  <si>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</si>
  <si>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</si>
  <si>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</si>
  <si>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</si>
  <si>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</si>
  <si>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</si>
  <si>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</si>
  <si>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</si>
  <si>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</si>
  <si>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</si>
  <si>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</si>
  <si>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</si>
  <si>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</si>
  <si>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</si>
  <si>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</si>
  <si>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</si>
  <si>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</si>
  <si>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</si>
  <si>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</si>
  <si>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</si>
  <si>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</si>
  <si>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</si>
  <si>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</si>
  <si>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</si>
  <si>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</si>
  <si>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</si>
  <si>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</si>
  <si>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</si>
  <si>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</si>
  <si>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</si>
  <si>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</si>
  <si>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</si>
  <si>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</si>
  <si>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</si>
  <si>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</si>
  <si>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</si>
  <si>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</si>
  <si>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</si>
  <si>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</si>
  <si>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</si>
  <si>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</si>
  <si>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</si>
  <si>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</si>
  <si>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</si>
  <si>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</si>
  <si>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</si>
  <si>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</si>
  <si>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</si>
  <si>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</si>
  <si>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</si>
  <si>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</si>
  <si>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</si>
  <si>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</si>
  <si>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</si>
  <si>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</si>
  <si>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</si>
  <si>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</si>
  <si>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</si>
  <si>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</si>
  <si>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</si>
  <si>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</si>
  <si>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</si>
  <si>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</si>
  <si>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</si>
  <si>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</si>
  <si>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</si>
  <si>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</si>
  <si>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</si>
  <si>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</si>
  <si>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</si>
  <si>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</si>
  <si>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</si>
  <si>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</si>
  <si>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</si>
  <si>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</si>
  <si>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</si>
  <si>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</si>
  <si>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</si>
  <si>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</si>
  <si>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</si>
  <si>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</si>
  <si>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</si>
  <si>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</si>
  <si>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</si>
  <si>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</si>
  <si>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</si>
  <si>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</si>
  <si>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</si>
  <si>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</si>
  <si>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</si>
  <si>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</si>
  <si>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</si>
  <si>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</si>
  <si>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</si>
  <si>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</si>
  <si>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</si>
  <si>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</si>
  <si>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</si>
  <si>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</si>
  <si>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</si>
  <si>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</si>
  <si>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</si>
  <si>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</si>
  <si>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</si>
  <si>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</si>
  <si>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</si>
  <si>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</si>
  <si>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</si>
  <si>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</si>
  <si>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</si>
  <si>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</si>
  <si>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</si>
  <si>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</si>
  <si>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</si>
  <si>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</si>
  <si>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</si>
  <si>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</si>
  <si>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</si>
  <si>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</si>
  <si>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</si>
  <si>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</si>
  <si>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</si>
  <si>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</si>
  <si>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</si>
  <si>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</si>
  <si>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</si>
  <si>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</si>
  <si>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</si>
  <si>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</si>
  <si>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</si>
  <si>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</si>
  <si>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</si>
  <si>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</si>
  <si>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</si>
  <si>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</si>
  <si>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</si>
  <si>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</si>
  <si>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</si>
  <si>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</si>
  <si>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</si>
  <si>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</si>
  <si>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</si>
  <si>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</si>
  <si>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</si>
  <si>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</si>
  <si>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</si>
  <si>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</si>
  <si>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</si>
  <si>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</si>
  <si>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</si>
  <si>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</si>
  <si>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</si>
  <si>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</si>
  <si>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</si>
  <si>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</si>
  <si>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</si>
  <si>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</si>
  <si>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</si>
  <si>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</si>
  <si>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</si>
  <si>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</si>
  <si>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</si>
  <si>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</si>
  <si>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</si>
  <si>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</si>
  <si>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</si>
  <si>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</si>
  <si>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</si>
  <si>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</si>
  <si>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</si>
  <si>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</si>
  <si>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</si>
  <si>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</si>
  <si>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</si>
  <si>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</si>
  <si>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</si>
  <si>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</si>
  <si>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</si>
  <si>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</si>
  <si>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</si>
  <si>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</si>
  <si>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</si>
  <si>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</si>
  <si>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</si>
  <si>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</si>
  <si>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</si>
  <si>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</si>
  <si>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</si>
  <si>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</si>
  <si>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</si>
  <si>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</si>
  <si>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</si>
  <si>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</si>
  <si>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</si>
  <si>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</si>
  <si>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</si>
  <si>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</si>
  <si>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</si>
  <si>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</si>
  <si>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</si>
  <si>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</si>
  <si>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</si>
  <si>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</si>
  <si>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</si>
  <si>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</si>
  <si>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</si>
  <si>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</si>
  <si>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</si>
  <si>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</si>
  <si>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</si>
  <si>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</si>
  <si>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</si>
  <si>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</si>
  <si>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</si>
  <si>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</si>
  <si>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</si>
  <si>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</si>
  <si>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</si>
  <si>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</si>
  <si>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</si>
  <si>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</si>
  <si>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</si>
  <si>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</si>
  <si>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</si>
  <si>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</si>
  <si>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</si>
  <si>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</si>
  <si>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</si>
  <si>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</si>
  <si>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</si>
  <si>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</si>
  <si>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</si>
  <si>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</si>
  <si>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</si>
  <si>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</si>
  <si>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</si>
  <si>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</si>
  <si>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</si>
  <si>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</si>
  <si>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</si>
  <si>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</si>
  <si>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</si>
  <si>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</si>
  <si>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</si>
  <si>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</si>
  <si>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</si>
  <si>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</si>
  <si>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</si>
  <si>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</si>
  <si>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</si>
  <si>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</si>
  <si>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</si>
  <si>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</si>
  <si>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</si>
  <si>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</si>
  <si>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</si>
  <si>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</si>
  <si>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</si>
  <si>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</si>
  <si>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</si>
  <si>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</si>
  <si>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</si>
  <si>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</si>
  <si>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</si>
  <si>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</si>
  <si>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</si>
  <si>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</si>
  <si>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</si>
  <si>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</si>
  <si>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</si>
  <si>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</si>
  <si>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</si>
  <si>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</si>
  <si>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</si>
  <si>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</si>
  <si>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</si>
  <si>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</si>
  <si>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</si>
  <si>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</si>
  <si>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</si>
  <si>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</si>
  <si>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</si>
  <si>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</si>
  <si>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</si>
  <si>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</si>
  <si>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</si>
  <si>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</si>
  <si>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</si>
  <si>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</si>
  <si>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</si>
  <si>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</si>
  <si>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</si>
  <si>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</si>
  <si>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</si>
  <si>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</si>
  <si>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</si>
  <si>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</si>
  <si>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</si>
  <si>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</si>
  <si>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</si>
  <si>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</si>
  <si>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</si>
  <si>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</si>
  <si>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</si>
  <si>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</si>
  <si>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</si>
  <si>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</si>
  <si>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</si>
  <si>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</si>
  <si>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</si>
  <si>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</si>
  <si>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</si>
  <si>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</si>
  <si>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</si>
  <si>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</si>
  <si>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</si>
  <si>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</si>
  <si>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</si>
  <si>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</si>
  <si>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</si>
  <si>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</si>
  <si>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</si>
  <si>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</si>
  <si>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</si>
  <si>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</si>
  <si>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</si>
  <si>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</si>
  <si>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</si>
  <si>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</si>
  <si>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</si>
  <si>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</si>
  <si>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</si>
  <si>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</si>
  <si>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</si>
  <si>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</si>
  <si>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</si>
  <si>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</si>
  <si>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</si>
  <si>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</si>
  <si>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</si>
  <si>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</si>
  <si>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</si>
  <si>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</si>
  <si>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</si>
  <si>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</si>
  <si>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</si>
  <si>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</si>
  <si>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</si>
  <si>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</si>
  <si>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</si>
  <si>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</si>
  <si>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</si>
  <si>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</si>
  <si>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</si>
  <si>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</si>
  <si>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</si>
  <si>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</si>
  <si>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</si>
  <si>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</si>
  <si>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</si>
  <si>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</si>
  <si>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</si>
  <si>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</si>
  <si>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</si>
  <si>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</si>
  <si>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</si>
  <si>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</si>
  <si>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</si>
  <si>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</si>
  <si>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</si>
  <si>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</si>
  <si>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</si>
  <si>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</si>
  <si>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</si>
  <si>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</si>
  <si>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</si>
  <si>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</si>
  <si>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</si>
  <si>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</si>
  <si>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</si>
  <si>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</si>
  <si>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</si>
  <si>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</si>
  <si>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</si>
  <si>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</si>
  <si>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</si>
  <si>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</si>
  <si>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</si>
  <si>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</si>
  <si>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</si>
  <si>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</si>
  <si>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</si>
  <si>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</si>
  <si>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</si>
  <si>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</si>
  <si>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</si>
  <si>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</si>
  <si>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</si>
  <si>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</si>
  <si>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</si>
  <si>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</si>
  <si>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</si>
  <si>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</si>
  <si>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</si>
  <si>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</si>
  <si>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</si>
  <si>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</si>
  <si>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</si>
  <si>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</si>
  <si>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</si>
  <si>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</si>
  <si>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</si>
  <si>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</si>
  <si>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</si>
  <si>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</si>
  <si>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</si>
  <si>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</si>
  <si>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</si>
  <si>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</si>
  <si>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</si>
  <si>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</si>
  <si>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</si>
  <si>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</si>
  <si>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</si>
  <si>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</si>
  <si>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</si>
  <si>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</si>
  <si>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</si>
  <si>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</si>
  <si>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</si>
  <si>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</si>
  <si>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</si>
  <si>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</si>
  <si>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</si>
  <si>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</si>
  <si>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</si>
  <si>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</si>
  <si>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</si>
  <si>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</si>
  <si>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</si>
  <si>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</si>
  <si>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</si>
  <si>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</si>
  <si>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</si>
  <si>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</si>
  <si>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</si>
  <si>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</si>
  <si>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</si>
  <si>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</si>
  <si>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</si>
  <si>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</si>
  <si>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</si>
  <si>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</si>
  <si>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</si>
  <si>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</si>
  <si>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</si>
  <si>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</si>
  <si>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</si>
  <si>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</si>
  <si>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</si>
  <si>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</si>
  <si>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</si>
  <si>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</si>
  <si>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</si>
  <si>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</si>
  <si>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</si>
  <si>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</si>
  <si>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</si>
  <si>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</si>
  <si>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</si>
  <si>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</si>
  <si>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</si>
  <si>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</si>
  <si>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</si>
  <si>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</si>
  <si>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</si>
  <si>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</si>
  <si>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</si>
  <si>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</si>
  <si>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</si>
  <si>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</si>
  <si>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</si>
  <si>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</si>
  <si>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</si>
  <si>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</si>
  <si>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</si>
  <si>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</si>
  <si>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</si>
  <si>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</si>
  <si>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</si>
  <si>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</si>
  <si>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</si>
  <si>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</si>
  <si>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</si>
  <si>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</si>
  <si>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</si>
  <si>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</si>
  <si>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</si>
  <si>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</si>
  <si>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</si>
  <si>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</si>
  <si>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</si>
  <si>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</si>
  <si>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</si>
  <si>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</si>
  <si>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</si>
  <si>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</si>
  <si>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</si>
  <si>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</si>
  <si>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</si>
  <si>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</si>
  <si>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</si>
  <si>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</si>
  <si>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</si>
  <si>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</si>
  <si>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</si>
  <si>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</si>
  <si>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</si>
  <si>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</si>
  <si>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</si>
  <si>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</si>
  <si>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</si>
  <si>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</si>
  <si>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</si>
  <si>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</si>
  <si>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</si>
  <si>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</si>
  <si>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</si>
  <si>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</si>
  <si>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</si>
  <si>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</si>
  <si>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</si>
  <si>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</si>
  <si>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</si>
  <si>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</si>
  <si>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</si>
  <si>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</si>
  <si>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</si>
  <si>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</si>
  <si>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</si>
  <si>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</si>
  <si>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</si>
  <si>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</si>
  <si>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</si>
  <si>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</si>
  <si>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</si>
  <si>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</si>
  <si>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</si>
  <si>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</si>
  <si>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</si>
  <si>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</si>
  <si>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</si>
  <si>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</si>
  <si>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</si>
  <si>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</si>
  <si>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</si>
  <si>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</si>
  <si>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</si>
  <si>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</si>
  <si>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</si>
  <si>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</si>
  <si>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</si>
  <si>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</si>
  <si>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</si>
  <si>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</si>
  <si>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</si>
  <si>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</si>
  <si>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</si>
  <si>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</si>
  <si>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</si>
  <si>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</si>
  <si>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</si>
  <si>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</si>
  <si>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</si>
  <si>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</si>
  <si>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</si>
  <si>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</si>
  <si>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</si>
  <si>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</si>
  <si>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</si>
  <si>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</si>
  <si>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</si>
  <si>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</si>
  <si>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</si>
  <si>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</si>
  <si>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</si>
  <si>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</si>
  <si>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</si>
  <si>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</si>
  <si>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</si>
  <si>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</si>
  <si>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</si>
  <si>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</si>
  <si>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</si>
  <si>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</si>
  <si>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</si>
  <si>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</si>
  <si>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</si>
  <si>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</si>
  <si>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</si>
  <si>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</si>
  <si>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</si>
  <si>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</si>
  <si>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</si>
  <si>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</si>
  <si>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</si>
  <si>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</si>
  <si>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</si>
  <si>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</si>
  <si>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</si>
  <si>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</si>
  <si>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</si>
  <si>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</si>
  <si>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</si>
  <si>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</si>
  <si>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</si>
  <si>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</si>
  <si>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</si>
  <si>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</si>
  <si>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</si>
  <si>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</si>
  <si>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</si>
  <si>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</si>
  <si>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</si>
  <si>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</si>
  <si>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</si>
  <si>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</si>
  <si>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</si>
  <si>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</si>
  <si>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</si>
  <si>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</si>
  <si>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</si>
  <si>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</si>
  <si>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</si>
  <si>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</si>
  <si>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</si>
  <si>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</si>
  <si>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</si>
  <si>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</si>
  <si>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</si>
  <si>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</si>
  <si>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</si>
  <si>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</si>
  <si>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</si>
  <si>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</si>
  <si>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</si>
  <si>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</si>
  <si>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</si>
  <si>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</si>
  <si>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</si>
  <si>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</si>
  <si>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</si>
  <si>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</si>
  <si>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</si>
  <si>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</si>
  <si>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</si>
  <si>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</si>
  <si>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</si>
  <si>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</si>
  <si>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</si>
  <si>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</si>
  <si>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</si>
  <si>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</si>
  <si>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</si>
  <si>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</si>
  <si>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</si>
  <si>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</si>
  <si>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</si>
  <si>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</si>
  <si>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</si>
  <si>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</si>
  <si>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</si>
  <si>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</si>
  <si>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</si>
  <si>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</si>
  <si>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</si>
  <si>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</si>
  <si>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</si>
  <si>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</si>
  <si>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</si>
  <si>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</si>
  <si>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</si>
  <si>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</si>
  <si>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</si>
  <si>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</si>
  <si>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</si>
  <si>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</si>
  <si>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</si>
  <si>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</si>
  <si>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</si>
  <si>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</si>
  <si>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</si>
  <si>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</si>
  <si>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</si>
  <si>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</si>
  <si>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</si>
  <si>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</si>
  <si>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</si>
  <si>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</si>
  <si>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</si>
  <si>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</si>
  <si>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</si>
  <si>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</si>
  <si>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</si>
  <si>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</si>
  <si>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</si>
  <si>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</si>
  <si>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</si>
  <si>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</si>
  <si>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</si>
  <si>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</si>
  <si>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</si>
  <si>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</si>
  <si>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</si>
  <si>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</si>
  <si>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</si>
  <si>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</si>
  <si>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</si>
  <si>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</si>
  <si>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</si>
  <si>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</si>
  <si>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</si>
  <si>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</si>
  <si>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</si>
  <si>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</si>
  <si>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</si>
  <si>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</si>
  <si>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</si>
  <si>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</si>
  <si>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</si>
  <si>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</si>
  <si>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</si>
  <si>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</si>
  <si>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</si>
  <si>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</si>
  <si>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</si>
  <si>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</si>
  <si>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</si>
  <si>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</si>
  <si>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</si>
  <si>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</si>
  <si>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</si>
  <si>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</si>
  <si>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</si>
  <si>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</si>
  <si>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</si>
  <si>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</si>
  <si>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</si>
  <si>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</si>
  <si>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</si>
  <si>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</si>
  <si>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</si>
  <si>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</si>
  <si>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</si>
  <si>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</si>
  <si>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</si>
  <si>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</si>
  <si>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</si>
  <si>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</si>
  <si>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</si>
  <si>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</si>
  <si>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</si>
  <si>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</si>
  <si>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</si>
  <si>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</si>
  <si>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</si>
  <si>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</si>
  <si>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</si>
  <si>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</si>
  <si>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</si>
  <si>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</si>
  <si>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</si>
  <si>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</si>
  <si>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</si>
  <si>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</si>
  <si>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</si>
  <si>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</si>
  <si>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</si>
  <si>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</si>
  <si>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</si>
  <si>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</si>
  <si>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</si>
  <si>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</si>
  <si>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</si>
  <si>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</si>
  <si>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</si>
  <si>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</si>
  <si>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</si>
  <si>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</si>
  <si>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</si>
  <si>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</si>
  <si>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</si>
  <si>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</si>
  <si>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</si>
  <si>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</si>
  <si>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</si>
  <si>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</si>
  <si>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</si>
  <si>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</si>
  <si>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</si>
  <si>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</si>
  <si>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</si>
  <si>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</si>
  <si>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</si>
  <si>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</si>
  <si>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</si>
  <si>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</si>
  <si>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</si>
  <si>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</si>
  <si>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</si>
  <si>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</si>
  <si>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</si>
  <si>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</si>
  <si>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</si>
  <si>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</si>
  <si>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</si>
  <si>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</si>
  <si>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</si>
  <si>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</si>
  <si>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</si>
  <si>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</si>
  <si>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</si>
  <si>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</si>
  <si>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</si>
  <si>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</si>
  <si>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</si>
  <si>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</si>
  <si>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</si>
  <si>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</si>
  <si>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</si>
  <si>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</si>
  <si>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</si>
  <si>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</si>
  <si>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</si>
  <si>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</si>
  <si>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</si>
  <si>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</si>
  <si>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</si>
  <si>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</si>
  <si>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</si>
  <si>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</si>
  <si>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</si>
  <si>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</si>
  <si>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</si>
  <si>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</si>
  <si>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</si>
  <si>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</si>
  <si>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</si>
  <si>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</si>
  <si>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</si>
  <si>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</si>
  <si>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</si>
  <si>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</si>
  <si>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</si>
  <si>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</si>
  <si>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</si>
  <si>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</si>
  <si>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</si>
  <si>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</si>
  <si>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</si>
  <si>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</si>
  <si>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</si>
  <si>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</si>
  <si>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</si>
  <si>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</si>
  <si>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</si>
  <si>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</si>
  <si>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</si>
  <si>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</si>
  <si>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</si>
  <si>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</si>
  <si>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</si>
  <si>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</si>
  <si>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</si>
  <si>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</si>
  <si>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</si>
  <si>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</si>
  <si>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</si>
  <si>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</si>
  <si>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</si>
  <si>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</si>
  <si>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</si>
  <si>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</si>
  <si>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</si>
  <si>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</si>
  <si>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</si>
  <si>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</si>
  <si>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</si>
  <si>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</si>
  <si>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</si>
  <si>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</si>
  <si>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</si>
  <si>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</si>
  <si>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</si>
  <si>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</si>
  <si>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</si>
  <si>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</si>
  <si>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</si>
  <si>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</si>
  <si>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</si>
  <si>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</si>
  <si>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</si>
  <si>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</si>
  <si>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</si>
  <si>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</si>
  <si>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</si>
  <si>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</si>
  <si>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</si>
  <si>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</si>
  <si>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</si>
  <si>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</si>
  <si>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</si>
  <si>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</si>
  <si>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</si>
  <si>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</si>
  <si>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</si>
  <si>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</si>
  <si>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</si>
  <si>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</si>
  <si>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</si>
  <si>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</si>
  <si>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</si>
  <si>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</si>
  <si>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</si>
  <si>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</si>
  <si>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</si>
  <si>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</si>
  <si>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</si>
  <si>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</si>
  <si>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</si>
  <si>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</si>
  <si>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</si>
  <si>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</si>
  <si>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</si>
  <si>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</si>
  <si>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</si>
  <si>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</si>
  <si>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</si>
  <si>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</si>
  <si>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</si>
  <si>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</si>
  <si>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</si>
  <si>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</si>
  <si>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</si>
  <si>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</si>
  <si>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</si>
  <si>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</si>
  <si>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</si>
  <si>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</si>
  <si>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</si>
  <si>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</si>
  <si>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</si>
  <si>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</si>
  <si>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</si>
  <si>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</si>
  <si>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</si>
  <si>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</si>
  <si>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</si>
  <si>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</si>
  <si>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</si>
  <si>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</si>
  <si>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</si>
  <si>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</si>
  <si>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</si>
  <si>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</si>
  <si>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</si>
  <si>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</si>
  <si>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</si>
  <si>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</si>
  <si>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</si>
  <si>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</si>
  <si>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</si>
  <si>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</si>
  <si>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</si>
  <si>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</si>
  <si>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</si>
  <si>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</si>
  <si>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</si>
  <si>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</si>
  <si>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</si>
  <si>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</si>
  <si>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</si>
  <si>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</si>
  <si>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</si>
  <si>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</si>
  <si>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</si>
  <si>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</si>
  <si>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</si>
  <si>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</si>
  <si>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</si>
  <si>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</si>
  <si>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</si>
  <si>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</si>
  <si>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</si>
  <si>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</si>
  <si>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</si>
  <si>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</si>
  <si>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</si>
  <si>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</si>
  <si>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</si>
  <si>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</si>
  <si>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</si>
  <si>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</si>
  <si>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</si>
  <si>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</si>
  <si>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</si>
  <si>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</si>
  <si>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</si>
  <si>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</si>
  <si>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</si>
  <si>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</si>
  <si>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</si>
  <si>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</si>
  <si>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</si>
  <si>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</si>
  <si>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</si>
  <si>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</si>
  <si>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</si>
  <si>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</si>
  <si>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</si>
  <si>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</si>
  <si>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</si>
  <si>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</si>
  <si>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</si>
  <si>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</si>
  <si>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</si>
  <si>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</si>
  <si>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</si>
  <si>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</si>
  <si>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</si>
  <si>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</si>
  <si>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</si>
  <si>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</si>
  <si>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</si>
  <si>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</si>
  <si>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</si>
  <si>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</si>
  <si>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</si>
  <si>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</si>
  <si>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</si>
  <si>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</si>
  <si>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</si>
  <si>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</si>
  <si>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</si>
  <si>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</si>
  <si>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</si>
  <si>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</si>
  <si>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</si>
  <si>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</si>
  <si>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</si>
  <si>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</si>
  <si>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</si>
  <si>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</si>
  <si>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</si>
  <si>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</si>
  <si>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</si>
  <si>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</si>
  <si>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</si>
  <si>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</si>
  <si>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</si>
  <si>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</si>
  <si>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</si>
  <si>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</si>
  <si>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</si>
  <si>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</si>
  <si>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</si>
  <si>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</si>
  <si>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</si>
  <si>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</si>
  <si>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</si>
  <si>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</si>
  <si>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</si>
  <si>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</si>
  <si>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</si>
  <si>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</si>
  <si>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</si>
  <si>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</si>
  <si>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</si>
  <si>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</si>
  <si>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</si>
  <si>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</si>
  <si>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</si>
  <si>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</si>
  <si>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</si>
  <si>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</si>
  <si>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</si>
  <si>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</si>
  <si>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</si>
  <si>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</si>
  <si>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</si>
  <si>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</si>
  <si>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</si>
  <si>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</si>
  <si>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</si>
  <si>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</si>
  <si>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</si>
  <si>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</si>
  <si>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</si>
  <si>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</si>
  <si>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</si>
  <si>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</si>
  <si>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</si>
  <si>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</si>
  <si>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</si>
  <si>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</si>
  <si>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</si>
  <si>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</si>
  <si>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</si>
  <si>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</si>
  <si>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</si>
  <si>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</si>
  <si>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</si>
  <si>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</si>
  <si>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</si>
  <si>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</si>
  <si>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</si>
  <si>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</si>
  <si>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</si>
  <si>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</si>
  <si>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</si>
  <si>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</si>
  <si>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</si>
  <si>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</si>
  <si>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</si>
  <si>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</si>
  <si>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</si>
  <si>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</si>
  <si>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</si>
  <si>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</si>
  <si>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</si>
  <si>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</si>
  <si>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</si>
  <si>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</si>
  <si>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</si>
  <si>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</si>
  <si>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</si>
  <si>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</si>
  <si>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</si>
  <si>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</si>
  <si>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</si>
  <si>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</si>
  <si>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</si>
  <si>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</si>
  <si>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</si>
  <si>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</si>
  <si>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</si>
  <si>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</si>
  <si>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</si>
  <si>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</si>
  <si>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</si>
  <si>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</si>
  <si>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</si>
  <si>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</si>
  <si>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</si>
  <si>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</si>
  <si>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</si>
  <si>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</si>
  <si>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</si>
  <si>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</si>
  <si>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</si>
  <si>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</si>
  <si>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</si>
  <si>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</si>
  <si>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</si>
  <si>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</si>
  <si>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</si>
  <si>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</si>
  <si>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</si>
  <si>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</si>
  <si>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</si>
  <si>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</si>
  <si>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</si>
  <si>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</si>
  <si>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</si>
  <si>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</si>
  <si>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</si>
  <si>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</si>
  <si>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</si>
  <si>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</si>
  <si>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</si>
  <si>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</si>
  <si>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</si>
  <si>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</si>
  <si>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</si>
  <si>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</si>
  <si>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</si>
  <si>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</si>
  <si>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</si>
  <si>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</si>
  <si>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</si>
  <si>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</si>
  <si>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</si>
  <si>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</si>
  <si>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</si>
  <si>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</si>
  <si>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</si>
  <si>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</si>
  <si>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</si>
  <si>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</si>
  <si>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</si>
  <si>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</si>
  <si>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</si>
  <si>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</si>
  <si>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</si>
  <si>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</si>
  <si>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</si>
  <si>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</si>
  <si>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</si>
  <si>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</si>
  <si>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</si>
  <si>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</si>
  <si>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</si>
  <si>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</si>
  <si>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</si>
  <si>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</si>
  <si>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</si>
  <si>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</si>
  <si>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</si>
  <si>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</si>
  <si>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</si>
  <si>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</si>
  <si>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</si>
  <si>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</si>
  <si>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</si>
  <si>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</si>
  <si>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</si>
  <si>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</si>
  <si>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</si>
  <si>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</si>
  <si>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</si>
  <si>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</si>
  <si>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</si>
  <si>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</si>
  <si>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</si>
  <si>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</si>
  <si>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</si>
  <si>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</si>
  <si>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</si>
  <si>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</si>
  <si>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</si>
  <si>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</si>
  <si>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</si>
  <si>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</si>
  <si>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</si>
  <si>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</si>
  <si>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</si>
  <si>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</si>
  <si>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</si>
  <si>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</si>
  <si>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</si>
  <si>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</si>
  <si>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</si>
  <si>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</si>
  <si>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</si>
  <si>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</si>
  <si>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</si>
  <si>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</si>
  <si>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</si>
  <si>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</si>
  <si>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</si>
  <si>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</si>
  <si>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</si>
  <si>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</si>
  <si>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</si>
  <si>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</si>
  <si>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</si>
  <si>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</si>
  <si>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</si>
  <si>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</si>
  <si>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</si>
  <si>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</si>
  <si>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</si>
  <si>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</si>
  <si>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</si>
  <si>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</si>
  <si>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</si>
  <si>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</si>
  <si>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</si>
  <si>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</si>
  <si>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</si>
  <si>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</si>
  <si>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</si>
  <si>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</si>
  <si>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</si>
  <si>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</si>
  <si>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</si>
  <si>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</si>
  <si>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</si>
  <si>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</si>
  <si>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</si>
  <si>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</si>
  <si>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</si>
  <si>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</si>
  <si>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</si>
  <si>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</si>
  <si>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</si>
  <si>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</si>
  <si>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</si>
  <si>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</si>
  <si>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</si>
  <si>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</si>
  <si>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</si>
  <si>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</si>
  <si>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</si>
  <si>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</si>
  <si>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</si>
  <si>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</si>
  <si>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</si>
  <si>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</si>
  <si>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</si>
  <si>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</si>
  <si>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</si>
  <si>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</si>
  <si>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</si>
  <si>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</si>
  <si>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</si>
  <si>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</si>
  <si>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</si>
  <si>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</si>
  <si>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</si>
  <si>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</si>
  <si>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</si>
  <si>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</si>
  <si>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</si>
  <si>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</si>
  <si>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</si>
  <si>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</si>
  <si>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</si>
  <si>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</si>
  <si>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</si>
  <si>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</si>
  <si>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</si>
  <si>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</si>
  <si>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</si>
  <si>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</si>
  <si>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</si>
  <si>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</si>
  <si>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</si>
  <si>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</si>
  <si>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</si>
  <si>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</si>
  <si>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</si>
  <si>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</si>
  <si>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</si>
  <si>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</si>
  <si>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</si>
  <si>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</si>
  <si>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</si>
  <si>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</si>
  <si>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</si>
  <si>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</si>
  <si>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</si>
  <si>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</si>
  <si>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</si>
  <si>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</si>
  <si>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</si>
  <si>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</si>
  <si>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</si>
  <si>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</si>
  <si>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</si>
  <si>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</si>
  <si>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</si>
  <si>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</si>
  <si>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</si>
  <si>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</si>
  <si>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</si>
  <si>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</si>
  <si>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</si>
  <si>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</si>
  <si>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</si>
  <si>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</si>
  <si>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</si>
  <si>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</si>
  <si>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</si>
  <si>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</si>
  <si>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</si>
  <si>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</si>
  <si>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</si>
  <si>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</si>
  <si>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</si>
  <si>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</si>
  <si>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</si>
  <si>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</si>
  <si>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</si>
  <si>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</si>
  <si>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</si>
  <si>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</si>
  <si>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</si>
  <si>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</si>
  <si>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</si>
  <si>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</si>
  <si>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</si>
  <si>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</si>
  <si>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</si>
  <si>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</si>
  <si>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</si>
  <si>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</si>
  <si>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</si>
  <si>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</si>
  <si>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</si>
  <si>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</si>
  <si>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</si>
  <si>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</si>
  <si>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</si>
  <si>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</si>
  <si>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</si>
  <si>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</si>
  <si>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</si>
  <si>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</si>
  <si>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</si>
  <si>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</si>
  <si>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</si>
  <si>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</si>
  <si>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</si>
  <si>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</si>
  <si>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</si>
  <si>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</si>
  <si>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</si>
  <si>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</si>
  <si>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</si>
  <si>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</si>
  <si>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</si>
  <si>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</si>
  <si>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</si>
  <si>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</si>
  <si>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</si>
  <si>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</si>
  <si>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</si>
  <si>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</si>
  <si>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</si>
  <si>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</si>
  <si>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</si>
  <si>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</si>
  <si>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</si>
  <si>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</si>
  <si>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</si>
  <si>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</si>
  <si>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</si>
  <si>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</si>
  <si>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</si>
  <si>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</si>
  <si>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</si>
  <si>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</si>
  <si>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</si>
  <si>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</si>
  <si>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</si>
  <si>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</si>
  <si>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</si>
  <si>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</si>
  <si>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</si>
  <si>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</si>
  <si>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</si>
  <si>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</si>
  <si>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</si>
  <si>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</si>
  <si>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</si>
  <si>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</si>
  <si>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</si>
  <si>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</si>
  <si>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</si>
  <si>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</si>
  <si>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</si>
  <si>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</si>
  <si>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</si>
  <si>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</si>
  <si>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</si>
  <si>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</si>
  <si>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</si>
  <si>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</si>
  <si>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</si>
  <si>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</si>
  <si>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</si>
  <si>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</si>
  <si>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</si>
  <si>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</si>
  <si>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</si>
  <si>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</si>
  <si>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</si>
  <si>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</si>
  <si>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</si>
  <si>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</si>
  <si>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</si>
  <si>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</si>
  <si>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</si>
  <si>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</si>
  <si>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</si>
  <si>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</si>
  <si>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</si>
  <si>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</si>
  <si>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</si>
  <si>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</si>
  <si>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</si>
  <si>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</si>
  <si>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</si>
  <si>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</si>
  <si>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</si>
  <si>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</si>
  <si>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</si>
  <si>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</si>
  <si>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</si>
  <si>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</si>
  <si>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</si>
  <si>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</si>
  <si>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</si>
  <si>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</si>
  <si>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</si>
  <si>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</si>
  <si>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</si>
  <si>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</si>
  <si>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</si>
  <si>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</si>
  <si>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</si>
  <si>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</si>
  <si>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</si>
  <si>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</si>
  <si>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</si>
  <si>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</si>
  <si>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</si>
  <si>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</si>
  <si>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</si>
  <si>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</si>
  <si>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</si>
  <si>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</si>
  <si>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</si>
  <si>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</si>
  <si>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</si>
  <si>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</si>
  <si>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</si>
  <si>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</si>
  <si>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</si>
  <si>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</si>
  <si>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</si>
  <si>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</si>
  <si>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</si>
  <si>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</si>
  <si>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</si>
  <si>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</si>
  <si>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</si>
  <si>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</si>
  <si>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</si>
  <si>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</si>
  <si>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</si>
  <si>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</si>
  <si>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</si>
  <si>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</si>
  <si>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</si>
  <si>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</si>
  <si>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</si>
  <si>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</si>
  <si>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</si>
  <si>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</si>
  <si>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</si>
  <si>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</si>
  <si>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</si>
  <si>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</si>
  <si>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</si>
  <si>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</si>
  <si>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</si>
  <si>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</si>
  <si>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</si>
  <si>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</si>
  <si>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</si>
  <si>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</si>
  <si>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</si>
  <si>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</si>
  <si>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</si>
  <si>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</si>
  <si>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</si>
  <si>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</si>
  <si>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</si>
  <si>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</si>
  <si>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</si>
  <si>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</si>
  <si>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</si>
  <si>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</si>
  <si>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</si>
  <si>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</si>
  <si>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</si>
  <si>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</si>
  <si>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</si>
  <si>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</si>
  <si>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</si>
  <si>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</si>
  <si>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</si>
  <si>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</si>
  <si>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</si>
  <si>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</si>
  <si>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</si>
  <si>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</si>
  <si>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</si>
  <si>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</si>
  <si>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</si>
  <si>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</si>
  <si>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</si>
  <si>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</si>
  <si>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</si>
  <si>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</si>
  <si>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</si>
  <si>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</si>
  <si>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</si>
  <si>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</si>
  <si>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</si>
  <si>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</si>
  <si>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</si>
  <si>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</si>
  <si>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</si>
  <si>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</si>
  <si>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</si>
  <si>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</si>
  <si>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</si>
  <si>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</si>
  <si>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</si>
  <si>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</si>
  <si>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</si>
  <si>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</si>
  <si>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</si>
  <si>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</si>
  <si>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</si>
  <si>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</si>
  <si>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</si>
  <si>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</si>
  <si>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</si>
  <si>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</si>
  <si>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</si>
  <si>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</si>
  <si>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</si>
  <si>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</si>
  <si>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</si>
  <si>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</si>
  <si>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</si>
  <si>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</si>
  <si>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</si>
  <si>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</si>
  <si>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</si>
  <si>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</si>
  <si>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</si>
  <si>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</si>
  <si>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</si>
  <si>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</si>
  <si>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</si>
  <si>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</si>
  <si>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</si>
  <si>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</si>
  <si>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</si>
  <si>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</si>
  <si>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</si>
  <si>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</si>
  <si>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</si>
  <si>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</si>
  <si>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</si>
  <si>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</si>
  <si>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</si>
  <si>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</si>
  <si>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</si>
  <si>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</si>
  <si>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</si>
  <si>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</si>
  <si>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</si>
  <si>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</si>
  <si>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</si>
  <si>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</si>
  <si>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</si>
  <si>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</si>
  <si>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</si>
  <si>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</si>
  <si>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</si>
  <si>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</si>
  <si>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</si>
  <si>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</si>
  <si>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</si>
  <si>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</si>
  <si>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</si>
  <si>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</si>
  <si>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</si>
  <si>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</si>
  <si>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</si>
  <si>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</si>
  <si>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</si>
  <si>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</si>
  <si>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</si>
  <si>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</si>
  <si>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</si>
  <si>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</si>
  <si>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</si>
  <si>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</si>
  <si>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</si>
  <si>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</si>
  <si>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</si>
  <si>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</si>
  <si>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</si>
  <si>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</si>
  <si>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</si>
  <si>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</si>
  <si>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</si>
  <si>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</si>
  <si>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</si>
  <si>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</si>
  <si>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</si>
  <si>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</si>
  <si>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</si>
  <si>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</si>
  <si>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</si>
  <si>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</si>
  <si>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</si>
  <si>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</si>
  <si>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</si>
  <si>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</si>
  <si>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</si>
  <si>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</si>
  <si>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</si>
  <si>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</si>
  <si>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</si>
  <si>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</si>
  <si>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</si>
  <si>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</si>
  <si>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</si>
  <si>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</si>
  <si>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</si>
  <si>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</si>
  <si>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</si>
  <si>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</si>
  <si>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</si>
  <si>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</si>
  <si>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</si>
  <si>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</si>
  <si>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</si>
  <si>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</si>
  <si>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</si>
  <si>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</si>
  <si>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</si>
  <si>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</si>
  <si>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</si>
  <si>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</si>
  <si>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</si>
  <si>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</si>
  <si>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</si>
  <si>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</si>
  <si>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</si>
  <si>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</si>
  <si>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</si>
  <si>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</si>
  <si>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</si>
  <si>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</si>
  <si>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</si>
  <si>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</si>
  <si>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</si>
  <si>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</si>
  <si>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</si>
  <si>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</si>
  <si>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</si>
  <si>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</si>
  <si>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</si>
  <si>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</si>
  <si>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</si>
  <si>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</si>
  <si>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</si>
  <si>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</si>
  <si>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</si>
  <si>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</si>
  <si>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</si>
  <si>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</si>
  <si>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</si>
  <si>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</si>
  <si>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</si>
  <si>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</si>
  <si>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</si>
  <si>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</si>
  <si>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</si>
  <si>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</si>
  <si>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</si>
  <si>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</si>
  <si>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</si>
  <si>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</si>
  <si>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</si>
  <si>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</si>
  <si>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</si>
  <si>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</si>
  <si>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</si>
  <si>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</si>
  <si>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</si>
  <si>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</si>
  <si>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</si>
  <si>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</si>
  <si>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</si>
  <si>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</si>
  <si>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</si>
  <si>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</si>
  <si>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</si>
  <si>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</si>
  <si>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</si>
  <si>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</si>
  <si>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</si>
  <si>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</si>
  <si>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</si>
  <si>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</si>
  <si>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</si>
  <si>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</si>
  <si>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</si>
  <si>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</si>
  <si>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</si>
  <si>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</si>
  <si>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</si>
  <si>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</si>
  <si>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</si>
  <si>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</si>
  <si>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</si>
  <si>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</si>
  <si>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</si>
  <si>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</si>
  <si>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</si>
  <si>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</si>
  <si>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</si>
  <si>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</si>
  <si>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</si>
  <si>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</si>
  <si>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</si>
  <si>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</si>
  <si>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</si>
  <si>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</si>
  <si>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</si>
  <si>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</si>
  <si>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</si>
  <si>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</si>
  <si>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</si>
  <si>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</si>
  <si>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</si>
  <si>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</si>
  <si>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</si>
  <si>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</si>
  <si>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</si>
  <si>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</si>
  <si>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</si>
  <si>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</si>
  <si>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</si>
  <si>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</si>
  <si>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</si>
  <si>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</si>
  <si>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</si>
  <si>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</si>
  <si>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</si>
  <si>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</si>
  <si>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</si>
  <si>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</si>
  <si>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</si>
  <si>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</si>
  <si>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</si>
  <si>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</si>
  <si>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</si>
  <si>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</si>
  <si>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</si>
  <si>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</si>
  <si>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</si>
  <si>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</si>
  <si>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</si>
  <si>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</si>
  <si>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</si>
  <si>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</si>
  <si>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</si>
  <si>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</si>
  <si>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</si>
  <si>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</si>
  <si>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</si>
  <si>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</si>
  <si>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</si>
  <si>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</si>
  <si>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</si>
  <si>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</si>
  <si>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</si>
  <si>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</si>
  <si>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</si>
  <si>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</si>
  <si>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</si>
  <si>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</si>
  <si>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</si>
  <si>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</si>
  <si>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</si>
  <si>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</si>
  <si>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</si>
  <si>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</si>
  <si>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</si>
  <si>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</si>
  <si>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</si>
  <si>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</si>
  <si>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</si>
  <si>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</si>
  <si>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</si>
  <si>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</si>
  <si>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</si>
  <si>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</si>
  <si>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</si>
  <si>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</si>
  <si>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</si>
  <si>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</si>
  <si>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</si>
  <si>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</si>
  <si>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</si>
  <si>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</si>
  <si>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</si>
  <si>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</si>
  <si>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</si>
  <si>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</si>
  <si>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</si>
  <si>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</si>
  <si>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</si>
  <si>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</si>
  <si>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</si>
  <si>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</si>
  <si>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</si>
  <si>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</si>
  <si>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</si>
  <si>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</si>
  <si>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</si>
  <si>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</si>
  <si>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</si>
  <si>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</si>
  <si>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</si>
  <si>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</si>
  <si>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</si>
  <si>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</si>
  <si>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</si>
  <si>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</si>
  <si>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</si>
  <si>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</si>
  <si>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</si>
  <si>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</si>
  <si>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</si>
  <si>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</si>
  <si>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</si>
  <si>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</si>
  <si>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</si>
  <si>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</si>
  <si>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</si>
  <si>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</si>
  <si>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</si>
  <si>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</si>
  <si>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</si>
  <si>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</si>
  <si>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</si>
  <si>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</si>
  <si>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</si>
  <si>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</si>
  <si>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</si>
  <si>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</si>
  <si>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</si>
  <si>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</si>
  <si>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</si>
  <si>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</si>
  <si>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</si>
  <si>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</si>
  <si>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</si>
  <si>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</si>
  <si>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</si>
  <si>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</si>
  <si>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</si>
  <si>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</si>
  <si>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</si>
  <si>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</si>
  <si>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</si>
  <si>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</si>
  <si>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</si>
  <si>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</si>
  <si>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</si>
  <si>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</si>
  <si>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</si>
  <si>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</si>
  <si>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</si>
  <si>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</si>
  <si>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</si>
  <si>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</si>
  <si>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</si>
  <si>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</si>
  <si>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</si>
  <si>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</si>
  <si>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</si>
  <si>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</si>
  <si>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</si>
  <si>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</si>
  <si>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</si>
  <si>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</si>
  <si>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</si>
  <si>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</si>
  <si>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</si>
  <si>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</si>
  <si>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</si>
  <si>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</si>
  <si>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</si>
  <si>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</si>
  <si>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</si>
  <si>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</si>
  <si>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</si>
  <si>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</si>
  <si>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</si>
  <si>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</si>
  <si>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</si>
  <si>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</si>
  <si>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</si>
  <si>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</si>
  <si>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</si>
  <si>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</si>
  <si>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</si>
  <si>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</si>
  <si>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</si>
  <si>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</si>
  <si>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</si>
  <si>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</si>
  <si>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</si>
  <si>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</si>
  <si>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</si>
  <si>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</si>
  <si>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</si>
  <si>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</si>
  <si>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</si>
  <si>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</si>
  <si>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</si>
  <si>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</si>
  <si>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</si>
  <si>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</si>
  <si>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</si>
  <si>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</si>
  <si>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</si>
  <si>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</si>
  <si>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</si>
  <si>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</si>
  <si>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</si>
  <si>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</si>
  <si>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</si>
  <si>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</si>
  <si>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</si>
  <si>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</si>
  <si>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</si>
  <si>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</si>
  <si>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</si>
  <si>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</si>
  <si>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</si>
  <si>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</si>
  <si>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</si>
  <si>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</si>
  <si>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</si>
  <si>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</si>
  <si>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</si>
  <si>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</si>
  <si>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</si>
  <si>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</si>
  <si>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</si>
  <si>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</si>
  <si>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</si>
  <si>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</si>
  <si>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</si>
  <si>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</si>
  <si>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</si>
  <si>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</si>
  <si>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</si>
  <si>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</si>
  <si>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</si>
  <si>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</si>
  <si>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</si>
  <si>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</si>
  <si>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</si>
  <si>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</si>
  <si>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</si>
  <si>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</si>
  <si>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</si>
  <si>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</si>
  <si>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</si>
  <si>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</si>
  <si>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</si>
  <si>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</si>
  <si>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</si>
  <si>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</si>
  <si>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</si>
  <si>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</si>
  <si>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</si>
  <si>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</si>
  <si>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</si>
  <si>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</si>
  <si>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</si>
  <si>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</si>
  <si>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</si>
  <si>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</si>
  <si>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</si>
  <si>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</si>
  <si>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</si>
  <si>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</si>
  <si>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</si>
  <si>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</si>
  <si>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</si>
  <si>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</si>
  <si>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</si>
  <si>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</si>
  <si>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</si>
  <si>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</si>
  <si>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</si>
  <si>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</si>
  <si>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</si>
  <si>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</si>
  <si>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</si>
  <si>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</si>
  <si>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</si>
  <si>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</si>
  <si>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</si>
  <si>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</si>
  <si>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</si>
  <si>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</si>
  <si>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</si>
  <si>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</si>
  <si>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</si>
  <si>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</si>
  <si>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</si>
  <si>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</si>
  <si>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</si>
  <si>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</si>
  <si>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</si>
  <si>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</si>
  <si>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</si>
  <si>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</si>
  <si>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</si>
  <si>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</si>
  <si>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</si>
  <si>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</si>
  <si>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</si>
  <si>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</si>
  <si>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</si>
  <si>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</si>
  <si>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</si>
  <si>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</si>
  <si>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</si>
  <si>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</si>
  <si>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</si>
  <si>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</si>
  <si>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</si>
  <si>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</si>
  <si>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</si>
  <si>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</si>
  <si>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</si>
  <si>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</si>
  <si>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</si>
  <si>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</si>
  <si>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</si>
  <si>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</si>
  <si>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</si>
  <si>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</si>
  <si>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</si>
  <si>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</si>
  <si>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</si>
  <si>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</si>
  <si>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</si>
  <si>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</si>
  <si>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</si>
  <si>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</si>
  <si>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</si>
  <si>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</si>
  <si>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</si>
  <si>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</si>
  <si>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</si>
  <si>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</si>
  <si>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</si>
  <si>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</si>
  <si>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</si>
  <si>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</si>
  <si>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</si>
  <si>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</si>
  <si>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</si>
  <si>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</si>
  <si>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</si>
  <si>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</si>
  <si>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</si>
  <si>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</si>
  <si>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</si>
  <si>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</si>
  <si>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</si>
  <si>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</si>
  <si>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</si>
  <si>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</si>
  <si>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</si>
  <si>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</si>
  <si>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</si>
  <si>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</si>
  <si>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</si>
  <si>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</si>
  <si>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</si>
  <si>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</si>
  <si>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</si>
  <si>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</si>
  <si>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</si>
  <si>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</si>
  <si>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</si>
  <si>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</si>
  <si>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</si>
  <si>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</si>
  <si>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</si>
  <si>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</si>
  <si>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</si>
  <si>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</si>
  <si>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</si>
  <si>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</si>
  <si>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</si>
  <si>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</si>
  <si>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</si>
  <si>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</si>
  <si>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</si>
  <si>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</si>
  <si>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</si>
  <si>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</si>
  <si>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</si>
  <si>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</si>
  <si>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</si>
  <si>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</si>
  <si>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</si>
  <si>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</si>
  <si>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</si>
  <si>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</si>
  <si>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</si>
  <si>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</si>
  <si>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</si>
  <si>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</si>
  <si>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</si>
  <si>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</si>
  <si>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</si>
  <si>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</si>
  <si>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</si>
  <si>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</si>
  <si>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</si>
  <si>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</si>
  <si>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</si>
  <si>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</si>
  <si>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</si>
  <si>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</si>
  <si>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</si>
  <si>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</si>
  <si>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</si>
  <si>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</si>
  <si>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</si>
  <si>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</si>
  <si>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</si>
  <si>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</si>
  <si>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</si>
  <si>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</si>
  <si>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</si>
  <si>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</si>
  <si>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</si>
  <si>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</si>
  <si>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</si>
  <si>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</si>
  <si>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</si>
  <si>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</si>
  <si>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</si>
  <si>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</si>
  <si>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</si>
  <si>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</si>
  <si>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</si>
  <si>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</si>
  <si>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</si>
  <si>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</si>
  <si>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</si>
  <si>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</si>
  <si>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</si>
  <si>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</si>
  <si>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</si>
  <si>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</si>
  <si>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</si>
  <si>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</si>
  <si>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</si>
  <si>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</si>
  <si>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</si>
  <si>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</si>
  <si>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</si>
  <si>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</si>
  <si>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</si>
  <si>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</si>
  <si>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</si>
  <si>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</si>
  <si>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</si>
  <si>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</si>
  <si>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</si>
  <si>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</si>
  <si>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</si>
  <si>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</si>
  <si>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</si>
  <si>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</si>
  <si>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</si>
  <si>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</si>
  <si>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</si>
  <si>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</si>
  <si>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</si>
  <si>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</si>
  <si>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</si>
  <si>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</si>
  <si>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</si>
  <si>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</si>
  <si>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</si>
  <si>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</si>
  <si>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</si>
  <si>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</si>
  <si>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</si>
  <si>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</si>
  <si>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</si>
  <si>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</si>
  <si>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</si>
  <si>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</si>
  <si>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</si>
  <si>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</si>
  <si>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</si>
  <si>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</si>
  <si>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</si>
  <si>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</si>
  <si>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</si>
  <si>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</si>
  <si>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</si>
  <si>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</si>
  <si>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</si>
  <si>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</si>
  <si>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</si>
  <si>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</si>
  <si>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</si>
  <si>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</si>
  <si>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</si>
  <si>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</si>
  <si>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</si>
  <si>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</si>
  <si>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</si>
  <si>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</si>
  <si>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</si>
  <si>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</si>
  <si>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</si>
  <si>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</si>
  <si>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</si>
  <si>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</si>
  <si>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</si>
  <si>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</si>
  <si>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</si>
  <si>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</si>
  <si>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</si>
  <si>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</si>
  <si>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</si>
  <si>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</si>
  <si>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</si>
  <si>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</si>
  <si>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</si>
  <si>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</si>
  <si>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</si>
  <si>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</si>
  <si>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</si>
  <si>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</si>
  <si>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</si>
  <si>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</si>
  <si>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</si>
  <si>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</si>
  <si>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</si>
  <si>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</si>
  <si>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</si>
  <si>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</si>
  <si>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</si>
  <si>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</si>
  <si>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</si>
  <si>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</si>
  <si>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</si>
  <si>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</si>
  <si>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</si>
  <si>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</si>
  <si>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</si>
  <si>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</si>
  <si>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</si>
  <si>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</si>
  <si>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</si>
  <si>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</si>
  <si>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</si>
  <si>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</si>
  <si>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</si>
  <si>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</si>
  <si>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</si>
  <si>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</si>
  <si>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</si>
  <si>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</si>
  <si>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</si>
  <si>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</si>
  <si>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</si>
  <si>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</si>
  <si>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</si>
  <si>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</si>
  <si>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</si>
  <si>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</si>
  <si>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</si>
  <si>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</si>
  <si>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</si>
  <si>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</si>
  <si>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</si>
  <si>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</si>
  <si>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</si>
  <si>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</si>
  <si>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</si>
  <si>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</si>
  <si>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</si>
  <si>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</si>
  <si>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</si>
  <si>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</si>
  <si>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</si>
  <si>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</si>
  <si>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</si>
  <si>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</si>
  <si>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</si>
  <si>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</si>
  <si>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</si>
  <si>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</si>
  <si>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</si>
  <si>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</si>
  <si>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</si>
  <si>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</si>
  <si>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</si>
  <si>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</si>
  <si>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</si>
  <si>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</si>
  <si>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</si>
  <si>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</si>
  <si>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</si>
  <si>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</si>
  <si>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</si>
  <si>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</si>
  <si>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</si>
  <si>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</si>
  <si>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</si>
  <si>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</si>
  <si>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</si>
  <si>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</si>
  <si>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</si>
  <si>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</si>
  <si>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</si>
  <si>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</si>
  <si>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</si>
  <si>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</si>
  <si>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</si>
  <si>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</si>
  <si>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</si>
  <si>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</si>
  <si>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</si>
  <si>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</si>
  <si>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</si>
  <si>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</si>
  <si>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</si>
  <si>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</si>
  <si>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</si>
  <si>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</si>
  <si>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</si>
  <si>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</si>
  <si>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</si>
  <si>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</si>
  <si>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</si>
  <si>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</si>
  <si>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</si>
  <si>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</si>
  <si>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</si>
  <si>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</si>
  <si>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</si>
  <si>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</si>
  <si>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</si>
  <si>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</si>
  <si>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</si>
  <si>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</si>
  <si>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</si>
  <si>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</si>
  <si>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</si>
  <si>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</si>
  <si>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</si>
  <si>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</si>
  <si>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</si>
  <si>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</si>
  <si>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</si>
  <si>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</si>
  <si>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</si>
  <si>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</si>
  <si>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</si>
  <si>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</si>
  <si>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</si>
  <si>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</si>
  <si>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</si>
  <si>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</si>
  <si>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</si>
  <si>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</si>
  <si>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</si>
  <si>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</si>
  <si>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</si>
  <si>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</si>
  <si>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</si>
  <si>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</si>
  <si>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</si>
  <si>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</si>
  <si>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</si>
  <si>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</si>
  <si>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</si>
  <si>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</si>
  <si>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</si>
  <si>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</si>
  <si>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</si>
  <si>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</si>
  <si>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</si>
  <si>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</si>
  <si>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</si>
  <si>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</si>
  <si>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</si>
  <si>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</si>
  <si>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</si>
  <si>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</si>
  <si>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</si>
  <si>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</si>
  <si>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</si>
  <si>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</si>
  <si>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</si>
  <si>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</si>
  <si>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</si>
  <si>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</si>
  <si>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</si>
  <si>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</si>
  <si>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</si>
  <si>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</si>
  <si>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</si>
  <si>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</si>
  <si>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</si>
  <si>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</si>
  <si>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</si>
  <si>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</si>
  <si>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</si>
  <si>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</si>
  <si>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</si>
  <si>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</si>
  <si>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</si>
  <si>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</si>
  <si>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</si>
  <si>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</si>
  <si>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</si>
  <si>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</si>
  <si>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</si>
  <si>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</si>
  <si>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</si>
  <si>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</si>
  <si>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</si>
  <si>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</si>
  <si>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</si>
  <si>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</si>
  <si>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</si>
  <si>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</si>
  <si>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</si>
  <si>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</si>
  <si>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</si>
  <si>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</si>
  <si>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</si>
  <si>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</si>
  <si>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</si>
  <si>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</si>
  <si>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</si>
  <si>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</si>
  <si>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</si>
  <si>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</si>
  <si>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</si>
  <si>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</si>
  <si>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</si>
  <si>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</si>
  <si>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</si>
  <si>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</si>
  <si>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</si>
  <si>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</si>
  <si>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</si>
  <si>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</si>
  <si>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</si>
  <si>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</si>
  <si>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</si>
  <si>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</si>
  <si>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</si>
  <si>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</si>
  <si>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</si>
  <si>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</si>
  <si>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</si>
  <si>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</si>
  <si>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</si>
  <si>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</si>
  <si>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</si>
  <si>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</si>
  <si>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</si>
  <si>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</si>
  <si>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</si>
  <si>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</si>
  <si>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</si>
  <si>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</si>
  <si>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</si>
  <si>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</si>
  <si>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</si>
  <si>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</si>
  <si>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</si>
  <si>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</si>
  <si>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</si>
  <si>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</si>
  <si>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</si>
  <si>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</si>
  <si>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</si>
  <si>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</si>
  <si>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</si>
  <si>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</si>
  <si>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</si>
  <si>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</si>
  <si>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</si>
  <si>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</si>
  <si>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</si>
  <si>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</si>
  <si>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</si>
  <si>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</si>
  <si>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</si>
  <si>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</si>
  <si>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</si>
  <si>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</si>
  <si>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</si>
  <si>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</si>
  <si>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</si>
  <si>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</si>
  <si>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</si>
  <si>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</si>
  <si>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</si>
  <si>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</si>
  <si>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</si>
  <si>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</si>
  <si>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</si>
  <si>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</si>
  <si>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</si>
  <si>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</si>
  <si>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</si>
  <si>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</si>
  <si>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</si>
  <si>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</si>
  <si>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</si>
  <si>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</si>
  <si>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</si>
  <si>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</si>
  <si>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</si>
  <si>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</si>
  <si>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</si>
  <si>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</si>
  <si>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</si>
  <si>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</si>
  <si>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</si>
  <si>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</si>
  <si>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</si>
  <si>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</si>
  <si>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</si>
  <si>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</si>
  <si>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</si>
  <si>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</si>
  <si>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</si>
  <si>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</si>
  <si>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</si>
  <si>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</si>
  <si>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</si>
  <si>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</si>
  <si>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</si>
  <si>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</si>
  <si>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</si>
  <si>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</si>
  <si>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</si>
  <si>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</si>
  <si>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</si>
  <si>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</si>
  <si>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</si>
  <si>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</si>
  <si>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</si>
  <si>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</si>
  <si>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</si>
  <si>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</si>
  <si>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</si>
  <si>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</si>
  <si>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</si>
  <si>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</si>
  <si>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</si>
  <si>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</si>
  <si>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</si>
  <si>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</si>
  <si>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</si>
  <si>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</si>
  <si>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</si>
  <si>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</si>
  <si>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</si>
  <si>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</si>
  <si>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</si>
  <si>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</si>
  <si>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</si>
  <si>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</si>
  <si>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</si>
  <si>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</si>
  <si>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</si>
  <si>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</si>
  <si>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</si>
  <si>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</si>
  <si>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</si>
  <si>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</si>
  <si>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</si>
  <si>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</si>
  <si>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</si>
  <si>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</si>
  <si>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</si>
  <si>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</si>
  <si>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</si>
  <si>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</si>
  <si>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</si>
  <si>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</si>
  <si>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</si>
  <si>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</si>
  <si>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</si>
  <si>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</si>
  <si>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</si>
  <si>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</si>
  <si>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</si>
  <si>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</si>
  <si>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</si>
  <si>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</si>
  <si>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</si>
  <si>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</si>
  <si>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</si>
  <si>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</si>
  <si>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</si>
  <si>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</si>
  <si>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</si>
  <si>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</si>
  <si>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</si>
  <si>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</si>
  <si>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</si>
  <si>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</si>
  <si>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</si>
  <si>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</si>
  <si>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</si>
  <si>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</si>
  <si>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</si>
  <si>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</si>
  <si>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</si>
  <si>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</si>
  <si>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</si>
  <si>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</si>
  <si>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</si>
  <si>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</si>
  <si>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</si>
  <si>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</si>
  <si>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</si>
  <si>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</si>
  <si>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</si>
  <si>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</si>
  <si>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</si>
  <si>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</si>
  <si>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</si>
  <si>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</si>
  <si>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</si>
  <si>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</si>
  <si>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</si>
  <si>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</si>
  <si>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</si>
  <si>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</si>
  <si>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</si>
  <si>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</si>
  <si>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</si>
  <si>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</si>
  <si>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</si>
  <si>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</si>
  <si>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</si>
  <si>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</si>
  <si>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</si>
  <si>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</si>
  <si>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</si>
  <si>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</si>
  <si>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</si>
  <si>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</si>
  <si>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</si>
  <si>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</si>
  <si>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</si>
  <si>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</si>
  <si>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</si>
  <si>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</si>
  <si>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</si>
  <si>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</si>
  <si>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</si>
  <si>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</si>
  <si>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</si>
  <si>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</si>
  <si>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</si>
  <si>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</si>
  <si>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</si>
  <si>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</si>
  <si>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</si>
  <si>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</si>
  <si>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</si>
  <si>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</si>
  <si>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</si>
  <si>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</si>
  <si>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</si>
  <si>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</si>
  <si>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</si>
  <si>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</si>
  <si>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</si>
  <si>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</si>
  <si>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</si>
  <si>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</si>
  <si>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</si>
  <si>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</si>
  <si>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</si>
  <si>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</si>
  <si>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</si>
  <si>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</si>
  <si>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</si>
  <si>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</si>
  <si>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</si>
  <si>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</si>
  <si>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</si>
  <si>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</si>
  <si>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</si>
  <si>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</si>
  <si>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</si>
  <si>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</si>
  <si>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</si>
  <si>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</si>
  <si>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</si>
  <si>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</si>
  <si>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</si>
  <si>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</si>
  <si>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</si>
  <si>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</si>
  <si>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</si>
  <si>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</si>
  <si>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</si>
  <si>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</si>
  <si>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</si>
  <si>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</si>
  <si>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</si>
  <si>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</si>
  <si>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</si>
  <si>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</si>
  <si>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</si>
  <si>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</si>
  <si>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</si>
  <si>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</si>
  <si>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</si>
  <si>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</si>
  <si>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</si>
  <si>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</si>
  <si>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</si>
  <si>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</si>
  <si>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</si>
  <si>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</si>
  <si>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</si>
  <si>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</si>
  <si>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</si>
  <si>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</si>
  <si>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</si>
  <si>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</si>
  <si>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</si>
  <si>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</si>
  <si>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</si>
  <si>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</si>
  <si>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</si>
  <si>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</si>
  <si>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</si>
  <si>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</si>
  <si>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</si>
  <si>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</si>
  <si>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</si>
  <si>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</si>
  <si>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</si>
  <si>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</si>
  <si>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</si>
  <si>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</si>
  <si>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</si>
  <si>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</si>
  <si>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</si>
  <si>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</si>
  <si>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</si>
  <si>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</si>
  <si>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</si>
  <si>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</si>
  <si>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</si>
  <si>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</si>
  <si>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</si>
  <si>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</si>
  <si>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</si>
  <si>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</si>
  <si>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</si>
  <si>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</si>
  <si>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</si>
  <si>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</si>
  <si>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</si>
  <si>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</si>
  <si>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</si>
  <si>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</si>
  <si>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</si>
  <si>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</si>
  <si>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</si>
  <si>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</si>
  <si>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</si>
  <si>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</si>
  <si>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</si>
  <si>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</si>
  <si>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</si>
  <si>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</si>
  <si>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</si>
  <si>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</si>
  <si>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</si>
  <si>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</si>
  <si>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</si>
  <si>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</si>
  <si>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</si>
  <si>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</si>
  <si>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</si>
  <si>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</si>
  <si>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</si>
  <si>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</si>
  <si>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</si>
  <si>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</si>
  <si>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</si>
  <si>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</si>
  <si>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</si>
  <si>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</si>
  <si>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</si>
  <si>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</si>
  <si>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</si>
  <si>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</si>
  <si>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</si>
  <si>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</si>
  <si>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</si>
  <si>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</si>
  <si>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</si>
  <si>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</si>
  <si>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</si>
  <si>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</si>
  <si>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</si>
  <si>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</si>
  <si>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</si>
  <si>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</si>
  <si>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</si>
  <si>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</si>
  <si>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</si>
  <si>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</si>
  <si>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</si>
  <si>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</si>
  <si>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</si>
  <si>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</si>
  <si>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</si>
  <si>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</si>
  <si>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</si>
  <si>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</si>
  <si>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</si>
  <si>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</si>
  <si>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</si>
  <si>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</si>
  <si>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</si>
  <si>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</si>
  <si>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</si>
  <si>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</si>
  <si>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</si>
  <si>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</si>
  <si>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</si>
  <si>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</si>
  <si>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</si>
  <si>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</si>
  <si>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</si>
  <si>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</si>
  <si>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</si>
  <si>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</si>
  <si>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</si>
  <si>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</si>
  <si>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</si>
  <si>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</si>
  <si>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</si>
  <si>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</si>
  <si>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</si>
  <si>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</si>
  <si>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</si>
  <si>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</si>
  <si>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</si>
  <si>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</si>
  <si>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</si>
  <si>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</si>
  <si>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</si>
  <si>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</si>
  <si>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</si>
  <si>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</si>
  <si>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</si>
  <si>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</si>
  <si>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</si>
  <si>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</si>
  <si>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</si>
  <si>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</si>
  <si>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</si>
  <si>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</si>
  <si>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</si>
  <si>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</si>
  <si>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</si>
  <si>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</si>
  <si>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</si>
  <si>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</si>
  <si>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</si>
  <si>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</si>
  <si>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</si>
  <si>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</si>
  <si>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</si>
  <si>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</si>
  <si>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</si>
  <si>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</si>
  <si>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</si>
  <si>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</si>
  <si>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</si>
  <si>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</si>
  <si>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</si>
  <si>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</si>
  <si>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</si>
  <si>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</si>
  <si>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</si>
  <si>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</si>
  <si>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</si>
  <si>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</si>
  <si>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</si>
  <si>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</si>
  <si>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</si>
  <si>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</si>
  <si>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</si>
  <si>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</si>
  <si>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</si>
  <si>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</si>
  <si>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</si>
  <si>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</si>
  <si>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</si>
  <si>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</si>
  <si>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</si>
  <si>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</si>
  <si>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</si>
  <si>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</si>
  <si>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</si>
  <si>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</si>
  <si>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</si>
  <si>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</si>
  <si>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</si>
  <si>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</si>
  <si>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</si>
  <si>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</si>
  <si>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</si>
  <si>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</si>
  <si>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</si>
  <si>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</si>
  <si>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</si>
  <si>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</si>
  <si>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</si>
  <si>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</si>
  <si>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</si>
  <si>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</si>
  <si>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</si>
  <si>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</si>
  <si>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</si>
  <si>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</si>
  <si>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</si>
  <si>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</si>
  <si>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</si>
  <si>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</si>
  <si>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</si>
  <si>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</si>
  <si>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</si>
  <si>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</si>
  <si>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</si>
  <si>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</si>
  <si>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</si>
  <si>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</si>
  <si>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</si>
  <si>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</si>
  <si>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</si>
  <si>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</si>
  <si>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</si>
  <si>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</si>
  <si>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</si>
  <si>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</si>
  <si>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</si>
  <si>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</si>
  <si>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</si>
  <si>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</si>
  <si>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</si>
  <si>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</si>
  <si>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</si>
  <si>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</si>
  <si>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</si>
  <si>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</si>
  <si>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</si>
  <si>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</si>
  <si>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</si>
  <si>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</si>
  <si>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</si>
  <si>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</si>
  <si>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</si>
  <si>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</si>
  <si>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</si>
  <si>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</si>
  <si>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</si>
  <si>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</si>
  <si>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</si>
  <si>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</si>
  <si>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</si>
  <si>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</si>
  <si>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</si>
  <si>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</si>
  <si>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</si>
  <si>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</si>
  <si>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</si>
  <si>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</si>
  <si>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</si>
  <si>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</si>
  <si>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</si>
  <si>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</si>
  <si>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</si>
  <si>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</si>
  <si>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</si>
  <si>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</si>
  <si>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</si>
  <si>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</si>
  <si>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</si>
  <si>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</si>
  <si>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</si>
  <si>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</si>
  <si>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</si>
  <si>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</si>
  <si>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</si>
  <si>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</si>
  <si>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</si>
  <si>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</si>
  <si>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</si>
  <si>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</si>
  <si>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</si>
  <si>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</si>
  <si>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</si>
  <si>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</si>
  <si>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</si>
  <si>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</si>
  <si>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</si>
  <si>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</si>
  <si>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</si>
  <si>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</si>
  <si>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</si>
  <si>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</si>
  <si>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</si>
  <si>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</si>
  <si>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</si>
  <si>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</si>
  <si>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</si>
  <si>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</si>
  <si>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</si>
  <si>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</si>
  <si>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</si>
  <si>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</si>
  <si>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</si>
  <si>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</si>
  <si>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</si>
  <si>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</si>
  <si>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</si>
  <si>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</si>
  <si>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</si>
  <si>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</si>
  <si>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</si>
  <si>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</si>
  <si>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</si>
  <si>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</si>
  <si>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</si>
  <si>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</si>
  <si>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</si>
  <si>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</si>
  <si>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</si>
  <si>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</si>
  <si>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</si>
  <si>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</si>
  <si>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</si>
  <si>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</si>
  <si>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</si>
  <si>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</si>
  <si>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</si>
  <si>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</si>
  <si>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</si>
  <si>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</si>
  <si>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</si>
  <si>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</si>
  <si>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</si>
  <si>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</si>
  <si>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</si>
  <si>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</si>
  <si>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</si>
  <si>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</si>
  <si>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</si>
  <si>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</si>
  <si>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</si>
  <si>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</si>
  <si>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</si>
  <si>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</si>
  <si>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</si>
  <si>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</si>
  <si>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</si>
  <si>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</si>
  <si>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</si>
  <si>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</si>
  <si>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</si>
  <si>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</si>
  <si>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</si>
  <si>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</si>
  <si>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</si>
  <si>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</si>
  <si>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</si>
  <si>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</si>
  <si>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</si>
  <si>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</si>
  <si>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</si>
  <si>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</si>
  <si>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</si>
  <si>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</si>
  <si>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</si>
  <si>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</si>
  <si>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</si>
  <si>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</si>
  <si>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</si>
  <si>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</si>
  <si>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</si>
  <si>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</si>
  <si>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</si>
  <si>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</si>
  <si>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</si>
  <si>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</si>
  <si>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</si>
  <si>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</si>
  <si>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</si>
  <si>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</si>
  <si>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</si>
  <si>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</si>
  <si>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</si>
  <si>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</si>
  <si>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</si>
  <si>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</si>
  <si>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</si>
  <si>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</si>
  <si>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</si>
  <si>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</si>
  <si>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</si>
  <si>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</si>
  <si>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</si>
  <si>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</si>
  <si>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</si>
  <si>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</si>
  <si>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</si>
  <si>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</si>
  <si>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</si>
  <si>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</si>
  <si>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</si>
  <si>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</si>
  <si>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</si>
  <si>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</si>
  <si>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</si>
  <si>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</si>
  <si>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</si>
  <si>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</si>
  <si>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</si>
  <si>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</si>
  <si>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</si>
  <si>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</si>
  <si>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</si>
  <si>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</si>
  <si>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</si>
  <si>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</si>
  <si>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</si>
  <si>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</si>
  <si>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</si>
  <si>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</si>
  <si>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</si>
  <si>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</si>
  <si>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</si>
  <si>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</si>
  <si>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</si>
  <si>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</si>
  <si>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</si>
  <si>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</si>
  <si>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</si>
  <si>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</si>
  <si>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</si>
  <si>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</si>
  <si>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</si>
  <si>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</si>
  <si>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</si>
  <si>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</si>
  <si>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</si>
  <si>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</si>
  <si>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</si>
  <si>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</si>
  <si>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</si>
  <si>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</si>
  <si>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</si>
  <si>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</si>
  <si>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</si>
  <si>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</si>
  <si>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</si>
  <si>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</si>
  <si>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</si>
  <si>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</si>
  <si>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</si>
  <si>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</si>
  <si>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</si>
  <si>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</si>
  <si>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</si>
  <si>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</si>
  <si>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</si>
  <si>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</si>
  <si>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</si>
  <si>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</si>
  <si>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</si>
  <si>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</si>
  <si>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</si>
  <si>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</si>
  <si>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</si>
  <si>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</si>
  <si>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</si>
  <si>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</si>
  <si>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</si>
  <si>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</si>
  <si>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</si>
  <si>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</si>
  <si>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</si>
  <si>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</si>
  <si>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</si>
  <si>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</si>
  <si>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</si>
  <si>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</si>
  <si>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</si>
  <si>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</si>
  <si>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</si>
  <si>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</si>
  <si>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</si>
  <si>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</si>
  <si>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</si>
  <si>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</si>
  <si>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</si>
  <si>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</si>
  <si>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</si>
  <si>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</si>
  <si>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</si>
  <si>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</si>
  <si>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</si>
  <si>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</si>
  <si>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</si>
  <si>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</si>
  <si>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</si>
  <si>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</si>
  <si>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</si>
  <si>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</si>
  <si>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</si>
  <si>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</si>
  <si>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</si>
  <si>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</si>
  <si>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</si>
  <si>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</si>
  <si>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</si>
  <si>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</si>
  <si>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</si>
  <si>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</si>
  <si>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</si>
  <si>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</si>
  <si>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</si>
  <si>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</si>
  <si>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</si>
  <si>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</si>
  <si>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</si>
  <si>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</si>
  <si>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</si>
  <si>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</si>
  <si>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</si>
  <si>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</si>
  <si>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</si>
  <si>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</si>
  <si>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</si>
  <si>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</si>
  <si>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</si>
  <si>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</si>
  <si>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</si>
  <si>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</si>
  <si>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</si>
  <si>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</si>
  <si>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</si>
  <si>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</si>
  <si>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</si>
  <si>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</si>
  <si>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</si>
  <si>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</si>
  <si>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</si>
  <si>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</si>
  <si>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</si>
  <si>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</si>
  <si>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</si>
  <si>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</si>
  <si>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</si>
  <si>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</si>
  <si>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</si>
  <si>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</si>
  <si>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</si>
  <si>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</si>
  <si>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</si>
  <si>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</si>
  <si>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</si>
  <si>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</si>
  <si>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</si>
  <si>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</si>
  <si>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</si>
  <si>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</si>
  <si>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</si>
  <si>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</si>
  <si>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</si>
  <si>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</si>
  <si>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</si>
  <si>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</si>
  <si>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</si>
  <si>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</si>
  <si>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</si>
  <si>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</si>
  <si>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</si>
  <si>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</si>
  <si>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</si>
  <si>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</si>
  <si>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</si>
  <si>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</si>
  <si>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</si>
  <si>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</si>
  <si>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</si>
  <si>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</si>
  <si>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</si>
  <si>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</si>
  <si>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</si>
  <si>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</si>
  <si>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</si>
  <si>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</si>
  <si>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</si>
  <si>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</si>
  <si>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</si>
  <si>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</si>
  <si>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</si>
  <si>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</si>
  <si>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</si>
  <si>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</si>
  <si>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</si>
  <si>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</si>
  <si>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</si>
  <si>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</si>
  <si>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</si>
  <si>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</si>
  <si>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</si>
  <si>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</si>
  <si>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</si>
  <si>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</si>
  <si>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</si>
  <si>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</si>
  <si>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</si>
  <si>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</si>
  <si>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</si>
  <si>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</si>
  <si>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</si>
  <si>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</si>
  <si>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</si>
  <si>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</si>
  <si>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</si>
  <si>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</si>
  <si>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</si>
  <si>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</si>
  <si>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</si>
  <si>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</si>
  <si>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</si>
  <si>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</si>
  <si>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</si>
  <si>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</si>
  <si>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</si>
  <si>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</si>
  <si>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</si>
  <si>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</si>
  <si>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</si>
  <si>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</si>
  <si>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</si>
  <si>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</si>
  <si>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</si>
  <si>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</si>
  <si>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</si>
  <si>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</si>
  <si>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</si>
  <si>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</si>
  <si>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</si>
  <si>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</si>
  <si>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</si>
  <si>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</si>
  <si>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</si>
  <si>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</si>
  <si>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</si>
  <si>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</si>
  <si>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</si>
  <si>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</si>
  <si>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</si>
  <si>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</si>
  <si>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</si>
  <si>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</si>
  <si>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</si>
  <si>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</si>
  <si>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</si>
  <si>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</si>
  <si>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</si>
  <si>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</si>
  <si>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</si>
  <si>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</si>
  <si>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</si>
  <si>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</si>
  <si>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</si>
  <si>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</si>
  <si>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</si>
  <si>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</si>
  <si>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</si>
  <si>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</si>
  <si>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</si>
  <si>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</si>
  <si>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</si>
  <si>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</si>
  <si>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</si>
  <si>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</si>
  <si>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</si>
  <si>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</si>
  <si>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</si>
  <si>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</si>
  <si>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</si>
  <si>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</si>
  <si>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</si>
  <si>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</si>
  <si>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</si>
  <si>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</si>
  <si>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</si>
  <si>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</si>
  <si>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</si>
  <si>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</si>
  <si>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</si>
  <si>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</si>
  <si>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</si>
  <si>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</si>
  <si>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</si>
  <si>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</si>
  <si>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</si>
  <si>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</si>
  <si>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</si>
  <si>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</si>
  <si>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</si>
  <si>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</si>
  <si>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</si>
  <si>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</si>
  <si>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</si>
  <si>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</si>
  <si>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</si>
  <si>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</si>
  <si>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</si>
  <si>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</si>
  <si>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</si>
  <si>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</si>
  <si>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</si>
  <si>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</si>
  <si>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</si>
  <si>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</si>
  <si>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</si>
  <si>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</si>
  <si>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</si>
  <si>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</si>
  <si>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</si>
  <si>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</si>
  <si>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</si>
  <si>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</si>
  <si>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</si>
  <si>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</si>
  <si>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</si>
  <si>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</si>
  <si>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</si>
  <si>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</si>
  <si>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</si>
  <si>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</si>
  <si>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</si>
  <si>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</si>
  <si>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</si>
  <si>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</si>
  <si>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</si>
  <si>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</si>
  <si>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</si>
  <si>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</si>
  <si>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</si>
  <si>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</si>
  <si>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</si>
  <si>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</si>
  <si>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</si>
  <si>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</si>
  <si>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</si>
  <si>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</si>
  <si>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</si>
  <si>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</si>
  <si>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</si>
  <si>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</si>
  <si>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</si>
  <si>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</si>
  <si>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</si>
  <si>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</si>
  <si>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</si>
  <si>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</si>
  <si>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</si>
  <si>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</si>
  <si>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</si>
  <si>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</si>
  <si>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</si>
  <si>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</si>
  <si>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</si>
  <si>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</si>
  <si>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</si>
  <si>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</si>
  <si>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</si>
  <si>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</si>
  <si>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</si>
  <si>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</si>
  <si>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</si>
  <si>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</si>
  <si>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</si>
  <si>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</si>
  <si>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</si>
  <si>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</si>
  <si>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</si>
  <si>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</si>
  <si>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</si>
  <si>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</si>
  <si>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</si>
  <si>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</si>
  <si>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</si>
  <si>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</si>
  <si>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</si>
  <si>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</si>
  <si>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</si>
  <si>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</si>
  <si>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</si>
  <si>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</si>
  <si>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</si>
  <si>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</si>
  <si>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</si>
  <si>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</si>
  <si>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</si>
  <si>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</si>
  <si>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</si>
  <si>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</si>
  <si>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</si>
  <si>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</si>
  <si>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</si>
  <si>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</si>
  <si>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</si>
  <si>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</si>
  <si>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</si>
  <si>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</si>
  <si>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</si>
  <si>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</si>
  <si>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</si>
  <si>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</si>
  <si>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</si>
  <si>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</si>
  <si>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</si>
  <si>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</si>
  <si>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</si>
  <si>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</si>
  <si>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</si>
  <si>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</si>
  <si>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</si>
  <si>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</si>
  <si>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</si>
  <si>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</si>
  <si>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</si>
  <si>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</si>
  <si>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</si>
  <si>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</si>
  <si>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</si>
  <si>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</si>
  <si>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</si>
  <si>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</si>
  <si>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</si>
  <si>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</si>
  <si>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</si>
  <si>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</si>
  <si>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</si>
  <si>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</si>
  <si>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</si>
  <si>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</si>
  <si>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</si>
  <si>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</si>
  <si>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</si>
  <si>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</si>
  <si>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</si>
  <si>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</si>
  <si>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</si>
  <si>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</si>
  <si>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</si>
  <si>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</si>
  <si>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</si>
  <si>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</si>
  <si>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</si>
  <si>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</si>
  <si>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</si>
  <si>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</si>
  <si>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</si>
  <si>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</si>
  <si>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</si>
  <si>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</si>
  <si>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</si>
  <si>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</si>
  <si>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</si>
  <si>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</si>
  <si>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</si>
  <si>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</si>
  <si>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</si>
  <si>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</si>
  <si>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</si>
  <si>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</si>
  <si>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</si>
  <si>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</si>
  <si>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</si>
  <si>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</si>
  <si>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</si>
  <si>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</si>
  <si>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</si>
  <si>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</si>
  <si>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</si>
  <si>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</si>
  <si>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</si>
  <si>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</si>
  <si>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</si>
  <si>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</si>
  <si>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</si>
  <si>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</si>
  <si>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</si>
  <si>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</si>
  <si>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</si>
  <si>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</si>
  <si>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</si>
  <si>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</si>
  <si>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</si>
  <si>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</si>
  <si>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</si>
  <si>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</si>
  <si>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</si>
  <si>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</si>
  <si>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</si>
  <si>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</si>
  <si>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</si>
  <si>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</si>
  <si>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</si>
  <si>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</si>
  <si>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</si>
  <si>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</si>
  <si>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</si>
  <si>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</si>
  <si>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</si>
  <si>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</si>
  <si>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</si>
  <si>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</si>
  <si>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</si>
  <si>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</si>
  <si>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</si>
  <si>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</si>
  <si>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</si>
  <si>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</si>
  <si>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</si>
  <si>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</si>
  <si>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</si>
  <si>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</si>
  <si>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</si>
  <si>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</si>
  <si>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</si>
  <si>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</si>
  <si>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</si>
  <si>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</si>
  <si>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</si>
  <si>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</si>
  <si>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</si>
  <si>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</si>
  <si>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</si>
  <si>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</si>
  <si>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</si>
  <si>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</si>
  <si>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</si>
  <si>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</si>
  <si>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</si>
  <si>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</si>
  <si>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</si>
  <si>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</si>
  <si>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</si>
  <si>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</si>
  <si>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</si>
  <si>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</si>
  <si>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</si>
  <si>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</si>
  <si>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</si>
  <si>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</si>
  <si>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</si>
  <si>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</si>
  <si>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</si>
  <si>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</si>
  <si>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</si>
  <si>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</si>
  <si>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</si>
  <si>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</si>
  <si>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</si>
  <si>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</si>
  <si>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</si>
  <si>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</si>
  <si>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</si>
  <si>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</si>
  <si>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</si>
  <si>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</si>
  <si>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</si>
  <si>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</si>
  <si>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</si>
  <si>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</si>
  <si>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</si>
  <si>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</si>
  <si>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</si>
  <si>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</si>
  <si>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</si>
  <si>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</si>
  <si>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</si>
  <si>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</si>
  <si>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</si>
  <si>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</si>
  <si>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</si>
  <si>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</si>
  <si>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</si>
  <si>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</si>
  <si>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</si>
  <si>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</si>
  <si>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</si>
  <si>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</si>
  <si>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</si>
  <si>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</si>
  <si>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</si>
  <si>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</si>
  <si>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</si>
  <si>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</si>
  <si>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</si>
  <si>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</si>
  <si>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</si>
  <si>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</si>
  <si>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</si>
  <si>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</si>
  <si>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</si>
  <si>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</si>
  <si>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</si>
  <si>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</si>
  <si>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</si>
  <si>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</si>
  <si>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</si>
  <si>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</si>
  <si>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</si>
  <si>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</si>
  <si>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</si>
  <si>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</si>
  <si>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</si>
  <si>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</si>
  <si>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</si>
  <si>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</si>
  <si>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</si>
  <si>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</si>
  <si>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</si>
  <si>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</si>
  <si>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</si>
  <si>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</si>
  <si>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</si>
  <si>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</si>
  <si>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</si>
  <si>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</si>
  <si>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</si>
  <si>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</si>
  <si>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</si>
  <si>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</si>
  <si>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</si>
  <si>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</si>
  <si>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</si>
  <si>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</si>
  <si>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</si>
  <si>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</si>
  <si>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</si>
  <si>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</si>
  <si>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</si>
  <si>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</si>
  <si>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</si>
  <si>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</si>
  <si>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</si>
  <si>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</si>
  <si>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</si>
  <si>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</si>
  <si>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</si>
  <si>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</si>
  <si>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</si>
  <si>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</si>
  <si>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</si>
  <si>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</si>
  <si>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</si>
  <si>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</si>
  <si>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</si>
  <si>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</si>
  <si>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</si>
  <si>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</si>
  <si>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</si>
  <si>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</si>
  <si>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</si>
  <si>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</si>
  <si>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</si>
  <si>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</si>
  <si>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</si>
  <si>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</si>
  <si>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</si>
  <si>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</si>
  <si>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</si>
  <si>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</si>
  <si>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</si>
  <si>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</si>
  <si>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</si>
  <si>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</si>
  <si>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</si>
  <si>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</si>
  <si>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</si>
  <si>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</si>
  <si>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</si>
  <si>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</si>
  <si>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</si>
  <si>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</si>
  <si>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</si>
  <si>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</si>
  <si>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</si>
  <si>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</si>
  <si>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</si>
  <si>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</si>
  <si>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</si>
  <si>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</si>
  <si>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</si>
  <si>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</si>
  <si>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</si>
  <si>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</si>
  <si>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</si>
  <si>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</si>
  <si>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</si>
  <si>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</si>
  <si>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</si>
  <si>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</si>
  <si>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</si>
  <si>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</si>
  <si>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</si>
  <si>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</si>
  <si>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</si>
  <si>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</si>
  <si>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</si>
  <si>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</si>
  <si>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</si>
  <si>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</si>
  <si>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</si>
  <si>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</si>
  <si>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</si>
  <si>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</si>
  <si>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</si>
  <si>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</si>
  <si>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</si>
  <si>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</si>
  <si>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</si>
  <si>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</si>
  <si>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</si>
  <si>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</si>
  <si>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</si>
  <si>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</si>
  <si>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</si>
  <si>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</si>
  <si>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</si>
  <si>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</si>
  <si>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</si>
  <si>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</si>
  <si>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</si>
  <si>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</si>
  <si>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</si>
  <si>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</si>
  <si>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</si>
  <si>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</si>
  <si>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</si>
  <si>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</si>
  <si>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</si>
  <si>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</si>
  <si>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</si>
  <si>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</si>
  <si>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</si>
  <si>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</si>
  <si>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</si>
  <si>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</si>
  <si>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</si>
  <si>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</si>
  <si>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</si>
  <si>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</si>
  <si>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</si>
  <si>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</si>
  <si>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</si>
  <si>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</si>
  <si>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</si>
  <si>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</si>
  <si>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</si>
  <si>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</si>
  <si>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</si>
  <si>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</si>
  <si>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</si>
  <si>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</si>
  <si>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</si>
  <si>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</si>
  <si>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</si>
  <si>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</si>
  <si>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</si>
  <si>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</si>
  <si>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</si>
  <si>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</si>
  <si>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</si>
  <si>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</si>
  <si>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</si>
  <si>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</si>
  <si>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</si>
  <si>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</si>
  <si>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</si>
  <si>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</si>
  <si>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</si>
  <si>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</si>
  <si>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</si>
  <si>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</si>
  <si>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</si>
  <si>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</si>
  <si>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</si>
  <si>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</si>
  <si>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</si>
  <si>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</si>
  <si>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</si>
  <si>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</si>
  <si>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</si>
  <si>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</si>
  <si>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</si>
  <si>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</si>
  <si>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</si>
  <si>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</si>
  <si>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</si>
  <si>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</si>
  <si>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</si>
  <si>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</si>
  <si>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</si>
  <si>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</si>
  <si>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</si>
  <si>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</si>
  <si>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</si>
  <si>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</si>
  <si>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</si>
  <si>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</si>
  <si>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</si>
  <si>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</si>
  <si>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</si>
  <si>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</si>
  <si>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</si>
  <si>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</si>
  <si>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</si>
  <si>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</si>
  <si>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</si>
  <si>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</si>
  <si>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</si>
  <si>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</si>
  <si>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</si>
  <si>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</si>
  <si>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</si>
  <si>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</si>
  <si>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</si>
  <si>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</si>
  <si>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</si>
  <si>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</si>
  <si>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</si>
  <si>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</si>
  <si>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</si>
  <si>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</si>
  <si>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</si>
  <si>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</si>
  <si>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</si>
  <si>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</si>
  <si>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</si>
  <si>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</si>
  <si>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</si>
  <si>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</si>
  <si>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</si>
  <si>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</si>
  <si>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</si>
  <si>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</si>
  <si>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</si>
  <si>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</si>
  <si>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</si>
  <si>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</si>
  <si>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</si>
  <si>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</si>
  <si>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</si>
  <si>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</si>
  <si>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</si>
  <si>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</si>
  <si>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</si>
  <si>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</si>
  <si>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</si>
  <si>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</si>
  <si>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</si>
  <si>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</si>
  <si>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</si>
  <si>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</si>
  <si>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</si>
  <si>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</si>
  <si>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</si>
  <si>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</si>
  <si>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</si>
  <si>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</si>
  <si>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</si>
  <si>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</si>
  <si>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</si>
  <si>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</si>
  <si>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</si>
  <si>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</si>
  <si>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</si>
  <si>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</si>
  <si>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</si>
  <si>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</si>
  <si>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</si>
  <si>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</si>
  <si>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</si>
  <si>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</si>
  <si>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</si>
  <si>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</si>
  <si>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</si>
  <si>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</si>
  <si>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</si>
  <si>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</si>
  <si>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</si>
  <si>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</si>
  <si>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</si>
  <si>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</si>
  <si>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</si>
  <si>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</si>
  <si>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</si>
  <si>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</si>
  <si>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</si>
  <si>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</si>
  <si>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</si>
  <si>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</si>
  <si>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</si>
  <si>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</si>
  <si>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</si>
  <si>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</si>
  <si>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</si>
  <si>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</si>
  <si>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</si>
  <si>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</si>
  <si>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</si>
  <si>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</si>
  <si>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</si>
  <si>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</si>
  <si>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</si>
  <si>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</si>
  <si>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</si>
  <si>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</si>
  <si>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</si>
  <si>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</si>
  <si>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</si>
  <si>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</si>
  <si>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</si>
  <si>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</si>
  <si>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</si>
  <si>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</si>
  <si>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</si>
  <si>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</si>
  <si>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</si>
  <si>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</si>
  <si>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</si>
  <si>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</si>
  <si>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</si>
  <si>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</si>
  <si>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</si>
  <si>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</si>
  <si>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</si>
  <si>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</si>
  <si>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</si>
  <si>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</si>
  <si>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</si>
  <si>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</si>
  <si>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</si>
  <si>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</si>
  <si>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</si>
  <si>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</si>
  <si>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</si>
  <si>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</si>
  <si>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</si>
  <si>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</si>
  <si>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</si>
  <si>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</si>
  <si>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</si>
  <si>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</si>
  <si>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</si>
  <si>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</si>
  <si>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</si>
  <si>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</si>
  <si>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</si>
  <si>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</si>
  <si>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</si>
  <si>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</si>
  <si>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</si>
  <si>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</si>
  <si>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</si>
  <si>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</si>
  <si>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</si>
  <si>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</si>
  <si>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</si>
  <si>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</si>
  <si>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</si>
  <si>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</si>
  <si>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</si>
  <si>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</si>
  <si>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</si>
  <si>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</si>
  <si>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</si>
  <si>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</si>
  <si>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</si>
  <si>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</si>
  <si>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</si>
  <si>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</si>
  <si>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</si>
  <si>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</si>
  <si>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</si>
  <si>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</si>
  <si>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</si>
  <si>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</si>
  <si>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</si>
  <si>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</si>
  <si>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</si>
  <si>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</si>
  <si>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</si>
  <si>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</si>
  <si>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</si>
  <si>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</si>
  <si>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</si>
  <si>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</si>
  <si>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</si>
  <si>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</si>
  <si>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</si>
  <si>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</si>
  <si>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</si>
  <si>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</si>
  <si>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</si>
  <si>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</si>
  <si>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</si>
  <si>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</si>
  <si>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</si>
  <si>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</si>
  <si>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</si>
  <si>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</si>
  <si>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</si>
  <si>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</si>
  <si>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</si>
  <si>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</si>
  <si>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</si>
  <si>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</si>
  <si>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</si>
  <si>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</si>
  <si>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</si>
  <si>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</si>
  <si>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</si>
  <si>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</si>
  <si>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</si>
  <si>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</si>
  <si>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</si>
  <si>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</si>
  <si>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</si>
  <si>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</si>
  <si>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</si>
  <si>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</si>
  <si>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</si>
  <si>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</si>
  <si>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</si>
  <si>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</si>
  <si>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</si>
  <si>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</si>
  <si>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</si>
  <si>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</si>
  <si>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</si>
  <si>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</si>
  <si>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</si>
  <si>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</si>
  <si>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</si>
  <si>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</si>
  <si>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</si>
  <si>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</si>
  <si>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</si>
  <si>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</si>
  <si>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</si>
  <si>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</si>
  <si>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</si>
  <si>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</si>
  <si>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</si>
  <si>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</si>
  <si>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</si>
  <si>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</si>
  <si>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</si>
  <si>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</si>
  <si>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</si>
  <si>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</si>
  <si>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</si>
  <si>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</si>
  <si>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</si>
  <si>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</si>
  <si>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</si>
  <si>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</si>
  <si>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</si>
  <si>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</si>
  <si>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</si>
  <si>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</si>
  <si>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</si>
  <si>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</si>
  <si>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</si>
  <si>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</si>
  <si>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</si>
  <si>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</si>
  <si>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</si>
  <si>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</si>
  <si>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</si>
  <si>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</si>
  <si>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</si>
  <si>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</si>
  <si>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</si>
  <si>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</si>
  <si>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</si>
  <si>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</si>
  <si>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</si>
  <si>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</si>
  <si>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</si>
  <si>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</si>
  <si>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</si>
  <si>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</si>
  <si>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</si>
  <si>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</si>
  <si>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</si>
  <si>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</si>
  <si>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</si>
  <si>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</si>
  <si>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</si>
  <si>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</si>
  <si>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</si>
  <si>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</si>
  <si>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</si>
  <si>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</si>
  <si>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</si>
  <si>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</si>
  <si>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</si>
  <si>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</si>
  <si>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</si>
  <si>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</si>
  <si>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</si>
  <si>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</si>
  <si>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</si>
  <si>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</si>
  <si>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</si>
  <si>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</si>
  <si>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</si>
  <si>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</si>
  <si>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</si>
  <si>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</si>
  <si>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</si>
  <si>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</si>
  <si>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</si>
  <si>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</si>
  <si>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</si>
  <si>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</si>
  <si>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</si>
  <si>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</si>
  <si>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</si>
  <si>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</si>
  <si>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</si>
  <si>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</si>
  <si>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</si>
  <si>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</si>
  <si>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</si>
  <si>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</si>
  <si>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</si>
  <si>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</si>
  <si>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</si>
  <si>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</si>
  <si>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</si>
  <si>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</si>
  <si>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</si>
  <si>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</si>
  <si>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</si>
  <si>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</si>
  <si>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</si>
  <si>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</si>
  <si>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</si>
  <si>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</si>
  <si>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</si>
  <si>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</si>
  <si>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</si>
  <si>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</si>
  <si>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</si>
  <si>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</si>
  <si>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</si>
  <si>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</si>
  <si>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</si>
  <si>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</si>
  <si>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</si>
  <si>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</si>
  <si>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</si>
  <si>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</si>
  <si>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</si>
  <si>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</si>
  <si>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</si>
  <si>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</si>
  <si>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</si>
  <si>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</si>
  <si>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</si>
  <si>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</si>
  <si>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</si>
  <si>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</si>
  <si>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</si>
  <si>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</si>
  <si>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</si>
  <si>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</si>
  <si>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</si>
  <si>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</si>
  <si>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</si>
  <si>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</si>
  <si>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</si>
  <si>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</si>
  <si>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</si>
  <si>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</si>
  <si>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</si>
  <si>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</si>
  <si>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</si>
  <si>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</si>
  <si>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</si>
  <si>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</si>
  <si>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</si>
  <si>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</si>
  <si>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</si>
  <si>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</si>
  <si>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</si>
  <si>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</si>
  <si>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</si>
  <si>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</si>
  <si>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</si>
  <si>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</si>
  <si>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</si>
  <si>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</si>
  <si>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</si>
  <si>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</si>
  <si>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</si>
  <si>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</si>
  <si>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</si>
  <si>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</si>
  <si>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</si>
  <si>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</si>
  <si>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</si>
  <si>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</si>
  <si>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</si>
  <si>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</si>
  <si>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</si>
  <si>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</si>
  <si>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</si>
  <si>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</si>
  <si>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</si>
  <si>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</si>
  <si>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</si>
  <si>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</si>
  <si>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</si>
  <si>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</si>
  <si>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</si>
  <si>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</si>
  <si>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</si>
  <si>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</si>
  <si>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</si>
  <si>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</si>
  <si>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</si>
  <si>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</si>
  <si>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</si>
  <si>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</si>
  <si>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</si>
  <si>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</si>
  <si>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</si>
  <si>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</si>
  <si>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</si>
  <si>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</si>
  <si>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</si>
  <si>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</si>
  <si>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</si>
  <si>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</si>
  <si>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</si>
  <si>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</si>
  <si>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</si>
  <si>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</si>
  <si>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</si>
  <si>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</si>
  <si>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</si>
  <si>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</si>
  <si>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</si>
  <si>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</si>
  <si>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</si>
  <si>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</si>
  <si>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</si>
  <si>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</si>
  <si>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</si>
  <si>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</si>
  <si>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</si>
  <si>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</si>
  <si>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</si>
  <si>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</si>
  <si>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</si>
  <si>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</si>
  <si>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</si>
  <si>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</si>
  <si>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</si>
  <si>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</si>
  <si>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</si>
  <si>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</si>
  <si>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</si>
  <si>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</si>
  <si>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</si>
  <si>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</si>
  <si>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</si>
  <si>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</si>
  <si>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</si>
  <si>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</si>
  <si>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</si>
  <si>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</si>
  <si>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</si>
  <si>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</si>
  <si>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</si>
  <si>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</si>
  <si>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</si>
  <si>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</si>
  <si>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</si>
  <si>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</si>
  <si>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</si>
  <si>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</si>
  <si>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</si>
  <si>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</si>
  <si>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</si>
  <si>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</si>
  <si>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</si>
  <si>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</si>
  <si>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</si>
  <si>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</si>
  <si>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</si>
  <si>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</si>
  <si>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</si>
  <si>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</si>
  <si>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</si>
  <si>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</si>
  <si>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</si>
  <si>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</si>
  <si>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</si>
  <si>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</si>
  <si>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</si>
  <si>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</si>
  <si>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</si>
  <si>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</si>
  <si>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</si>
  <si>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</si>
  <si>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</si>
  <si>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</si>
  <si>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</si>
  <si>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</si>
  <si>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</si>
  <si>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</si>
  <si>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</si>
  <si>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</si>
  <si>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</si>
  <si>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</si>
  <si>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</si>
  <si>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</si>
  <si>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</si>
  <si>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</si>
  <si>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</si>
  <si>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</si>
  <si>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</si>
  <si>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</si>
  <si>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</si>
  <si>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</si>
  <si>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</si>
  <si>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</si>
  <si>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</si>
  <si>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</si>
  <si>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</si>
  <si>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</si>
  <si>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</si>
  <si>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</si>
  <si>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</si>
  <si>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</si>
  <si>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</si>
  <si>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</si>
  <si>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</si>
  <si>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</si>
  <si>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</si>
  <si>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</si>
  <si>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</si>
  <si>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</si>
  <si>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</si>
  <si>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</si>
  <si>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</si>
  <si>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</si>
  <si>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</si>
  <si>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</si>
  <si>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</si>
  <si>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</si>
  <si>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</si>
  <si>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</si>
  <si>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</si>
  <si>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</si>
  <si>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</si>
  <si>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</si>
  <si>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</si>
  <si>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</si>
  <si>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</si>
  <si>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</si>
  <si>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</si>
  <si>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</si>
  <si>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</si>
  <si>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</si>
  <si>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</si>
  <si>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</si>
  <si>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</si>
  <si>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</si>
  <si>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</si>
  <si>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</si>
  <si>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</si>
  <si>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</si>
  <si>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</si>
  <si>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</si>
  <si>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</si>
  <si>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</si>
  <si>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</si>
  <si>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</si>
  <si>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</si>
  <si>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</si>
  <si>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</si>
  <si>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</si>
  <si>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</si>
  <si>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</si>
  <si>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</si>
  <si>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</si>
  <si>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</si>
  <si>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</si>
  <si>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</si>
  <si>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</si>
  <si>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</si>
  <si>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</si>
  <si>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</si>
  <si>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</si>
  <si>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</si>
  <si>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</si>
  <si>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</si>
  <si>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</si>
  <si>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</si>
  <si>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</si>
  <si>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</si>
  <si>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</si>
  <si>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</si>
  <si>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</si>
  <si>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</si>
  <si>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</si>
  <si>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</si>
  <si>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</si>
  <si>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</si>
  <si>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</si>
  <si>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</si>
  <si>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</si>
  <si>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</si>
  <si>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</si>
  <si>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</si>
  <si>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</si>
  <si>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</si>
  <si>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</si>
  <si>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</si>
  <si>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</si>
  <si>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</si>
  <si>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</si>
  <si>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</si>
  <si>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</si>
  <si>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</si>
  <si>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</si>
  <si>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</si>
  <si>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</si>
  <si>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</si>
  <si>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</si>
  <si>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</si>
  <si>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</si>
  <si>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</si>
  <si>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</si>
  <si>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</si>
  <si>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</si>
  <si>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</si>
  <si>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</si>
  <si>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</si>
  <si>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</si>
  <si>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</si>
  <si>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</si>
  <si>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</si>
  <si>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</si>
  <si>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</si>
  <si>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</si>
  <si>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</si>
  <si>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</si>
  <si>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</si>
  <si>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</si>
  <si>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</si>
  <si>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</si>
  <si>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</si>
  <si>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</si>
  <si>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</si>
  <si>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</si>
  <si>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</si>
  <si>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</si>
  <si>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</si>
  <si>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</si>
  <si>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</si>
  <si>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</si>
  <si>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</si>
  <si>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</si>
  <si>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</si>
  <si>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</si>
  <si>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</si>
  <si>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</si>
  <si>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</si>
  <si>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</si>
  <si>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</si>
  <si>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</si>
  <si>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</si>
  <si>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</si>
  <si>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</si>
  <si>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</si>
  <si>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</si>
  <si>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</si>
  <si>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</si>
  <si>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</si>
  <si>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</si>
  <si>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</si>
  <si>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</si>
  <si>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</si>
  <si>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</si>
  <si>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</si>
  <si>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</si>
  <si>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</si>
  <si>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</si>
  <si>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</si>
  <si>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</si>
  <si>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</si>
  <si>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</si>
  <si>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</si>
  <si>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</si>
  <si>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</si>
  <si>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</si>
  <si>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</si>
  <si>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</si>
  <si>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</si>
  <si>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</si>
  <si>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</si>
  <si>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</si>
  <si>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</si>
  <si>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</si>
  <si>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</si>
  <si>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</si>
  <si>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</si>
  <si>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</si>
  <si>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</si>
  <si>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</si>
  <si>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</si>
  <si>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</si>
  <si>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</si>
  <si>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</si>
  <si>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</si>
  <si>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</si>
  <si>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</si>
  <si>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</si>
  <si>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</si>
  <si>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</si>
  <si>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</si>
  <si>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</si>
  <si>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</si>
  <si>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</si>
  <si>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</si>
  <si>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</si>
  <si>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</si>
  <si>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</si>
  <si>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</si>
  <si>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</si>
  <si>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</si>
  <si>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</si>
  <si>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</si>
  <si>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</si>
  <si>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</si>
  <si>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</si>
  <si>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</si>
  <si>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</si>
  <si>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</si>
  <si>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</si>
  <si>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</si>
  <si>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</si>
  <si>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</si>
  <si>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</si>
  <si>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</si>
  <si>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</si>
  <si>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</si>
  <si>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</si>
  <si>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</si>
  <si>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</si>
  <si>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</si>
  <si>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</si>
  <si>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</si>
  <si>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</si>
  <si>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</si>
  <si>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</si>
  <si>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</si>
  <si>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</si>
  <si>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</si>
  <si>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</si>
  <si>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</si>
  <si>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</si>
  <si>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</si>
  <si>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</si>
  <si>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</si>
  <si>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</si>
  <si>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</si>
  <si>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</si>
  <si>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</si>
  <si>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</si>
  <si>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</si>
  <si>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</si>
  <si>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</si>
  <si>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</si>
  <si>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</si>
  <si>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</si>
  <si>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</si>
  <si>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</si>
  <si>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</si>
  <si>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</si>
  <si>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</si>
  <si>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</si>
  <si>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</si>
  <si>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</si>
  <si>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</si>
  <si>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</si>
  <si>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</si>
  <si>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</si>
  <si>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</si>
  <si>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</si>
  <si>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</si>
  <si>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</si>
  <si>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</si>
  <si>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</si>
  <si>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</si>
  <si>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</si>
  <si>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</si>
  <si>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</si>
  <si>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</si>
  <si>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</si>
  <si>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</si>
  <si>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</si>
  <si>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</si>
  <si>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</si>
  <si>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</si>
  <si>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</si>
  <si>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</si>
  <si>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</si>
  <si>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</si>
  <si>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</si>
  <si>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</si>
  <si>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</si>
  <si>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</si>
  <si>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</si>
  <si>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</si>
  <si>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</si>
  <si>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</si>
  <si>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</si>
  <si>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</si>
  <si>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</si>
  <si>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</si>
  <si>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</si>
  <si>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</si>
  <si>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</si>
  <si>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</si>
  <si>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</si>
  <si>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</si>
  <si>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</si>
  <si>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</si>
  <si>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</si>
  <si>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</si>
  <si>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</si>
  <si>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</si>
  <si>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</si>
  <si>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</si>
  <si>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</si>
  <si>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</si>
  <si>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</si>
  <si>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</si>
  <si>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</si>
  <si>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</si>
  <si>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</si>
  <si>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</si>
  <si>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</si>
  <si>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</si>
  <si>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</si>
  <si>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</si>
  <si>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</si>
  <si>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</si>
  <si>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</si>
  <si>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</si>
  <si>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</si>
  <si>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</si>
  <si>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</si>
  <si>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</si>
  <si>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</si>
  <si>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</si>
  <si>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</si>
  <si>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</si>
  <si>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</si>
  <si>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</si>
  <si>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</si>
  <si>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</si>
  <si>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</si>
  <si>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</si>
  <si>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</si>
  <si>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</si>
  <si>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</si>
  <si>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</si>
  <si>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</si>
  <si>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</si>
  <si>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</si>
  <si>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</si>
  <si>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</si>
  <si>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</si>
  <si>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</si>
  <si>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</si>
  <si>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</si>
  <si>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</si>
  <si>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</si>
  <si>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</si>
  <si>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</si>
  <si>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</si>
  <si>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</si>
  <si>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</si>
  <si>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</si>
  <si>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</si>
  <si>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</si>
  <si>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</si>
  <si>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</si>
  <si>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</si>
  <si>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</si>
  <si>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</si>
  <si>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</si>
  <si>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</si>
  <si>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</si>
  <si>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</si>
  <si>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</si>
  <si>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</si>
  <si>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</si>
  <si>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</si>
  <si>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</si>
  <si>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</si>
  <si>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</si>
  <si>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</si>
  <si>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</si>
  <si>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</si>
  <si>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</si>
  <si>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</si>
  <si>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</si>
  <si>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</si>
  <si>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</si>
  <si>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</si>
  <si>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</si>
  <si>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</si>
  <si>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</si>
  <si>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</si>
  <si>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</si>
  <si>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</si>
  <si>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</si>
  <si>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</si>
  <si>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</si>
  <si>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</si>
  <si>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</si>
  <si>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</si>
  <si>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</si>
  <si>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</si>
  <si>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</si>
  <si>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</si>
  <si>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</si>
  <si>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</si>
  <si>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</si>
  <si>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</si>
  <si>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</si>
  <si>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</si>
  <si>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</si>
  <si>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</si>
  <si>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</si>
  <si>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</si>
  <si>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</si>
  <si>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</si>
  <si>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</si>
  <si>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</si>
  <si>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</si>
  <si>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</si>
  <si>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</si>
  <si>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</si>
  <si>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</si>
  <si>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</si>
  <si>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</si>
  <si>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</si>
  <si>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</si>
  <si>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</si>
  <si>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</si>
  <si>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</si>
  <si>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</si>
  <si>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</si>
  <si>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</si>
  <si>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</si>
  <si>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</si>
  <si>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</si>
  <si>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</si>
  <si>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</si>
  <si>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</si>
  <si>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</si>
  <si>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</si>
  <si>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</si>
  <si>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</si>
  <si>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</si>
  <si>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</si>
  <si>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</si>
  <si>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</si>
  <si>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</si>
  <si>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</si>
  <si>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</si>
  <si>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</si>
  <si>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</si>
  <si>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</si>
  <si>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</si>
  <si>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</si>
  <si>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</si>
  <si>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</si>
  <si>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</si>
  <si>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</si>
  <si>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</si>
  <si>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</si>
  <si>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</si>
  <si>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</si>
  <si>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</si>
  <si>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</si>
  <si>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</si>
  <si>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</si>
  <si>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</si>
  <si>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</si>
  <si>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</si>
  <si>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</si>
  <si>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</si>
  <si>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</si>
  <si>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</si>
  <si>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</si>
  <si>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</si>
  <si>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</si>
  <si>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</si>
  <si>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</si>
  <si>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</si>
  <si>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</si>
  <si>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</si>
  <si>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</si>
  <si>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</si>
  <si>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</si>
  <si>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</si>
  <si>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</si>
  <si>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</si>
  <si>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</si>
  <si>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</si>
  <si>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</si>
  <si>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</si>
  <si>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</si>
  <si>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</si>
  <si>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</si>
  <si>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</si>
  <si>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</si>
  <si>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</si>
  <si>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</si>
  <si>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</si>
  <si>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</si>
  <si>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</si>
  <si>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</si>
  <si>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</si>
  <si>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</si>
  <si>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</si>
  <si>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</si>
  <si>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</si>
  <si>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</si>
  <si>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</si>
  <si>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</si>
  <si>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</si>
  <si>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</si>
  <si>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</si>
  <si>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</si>
  <si>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</si>
  <si>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</si>
  <si>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</si>
  <si>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</si>
  <si>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</si>
  <si>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</si>
  <si>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</si>
  <si>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</si>
  <si>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</si>
  <si>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</si>
  <si>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</si>
  <si>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</si>
  <si>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</si>
  <si>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</si>
  <si>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</si>
  <si>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</si>
  <si>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</si>
  <si>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</si>
  <si>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</si>
  <si>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</si>
  <si>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</si>
  <si>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</si>
  <si>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</si>
  <si>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</si>
  <si>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</si>
  <si>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</si>
  <si>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</si>
  <si>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</si>
  <si>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</si>
  <si>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</si>
  <si>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</si>
  <si>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</si>
  <si>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</si>
  <si>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</si>
  <si>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</si>
  <si>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</si>
  <si>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</si>
  <si>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</si>
  <si>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</si>
  <si>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</si>
  <si>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</si>
  <si>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</si>
  <si>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</si>
  <si>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</si>
  <si>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</si>
  <si>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</si>
  <si>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</si>
  <si>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</si>
  <si>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</si>
  <si>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</si>
  <si>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</si>
  <si>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</si>
  <si>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</si>
  <si>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</si>
  <si>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</si>
  <si>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</si>
  <si>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</si>
  <si>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</si>
  <si>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</si>
  <si>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</si>
  <si>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</si>
  <si>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</si>
  <si>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</si>
  <si>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</si>
  <si>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</si>
  <si>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</si>
  <si>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</si>
  <si>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</si>
  <si>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</si>
  <si>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</si>
  <si>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</si>
  <si>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</si>
  <si>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</si>
  <si>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</si>
  <si>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</si>
  <si>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</si>
  <si>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</si>
  <si>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</si>
  <si>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</si>
  <si>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</si>
  <si>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</si>
  <si>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</si>
  <si>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</si>
  <si>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</si>
  <si>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</si>
  <si>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</si>
  <si>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</si>
  <si>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</si>
  <si>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</si>
  <si>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</si>
  <si>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</si>
  <si>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</si>
  <si>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</si>
  <si>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</si>
  <si>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</si>
  <si>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</si>
  <si>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</si>
  <si>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</si>
  <si>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</si>
  <si>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</si>
  <si>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</si>
  <si>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</si>
  <si>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</si>
  <si>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</si>
  <si>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</si>
  <si>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</si>
  <si>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</si>
  <si>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</si>
  <si>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</si>
  <si>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</si>
  <si>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</si>
  <si>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</si>
  <si>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</si>
  <si>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</si>
  <si>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</si>
  <si>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</si>
  <si>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</si>
  <si>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</si>
  <si>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</si>
  <si>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</si>
  <si>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</si>
  <si>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</si>
  <si>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</si>
  <si>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</si>
  <si>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</si>
  <si>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</si>
  <si>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</si>
  <si>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</si>
  <si>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</si>
  <si>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</si>
  <si>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</si>
  <si>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</si>
  <si>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</si>
  <si>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</si>
  <si>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</si>
  <si>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</si>
  <si>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</si>
  <si>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</si>
  <si>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</si>
  <si>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</si>
  <si>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</si>
  <si>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</si>
  <si>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</si>
  <si>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</si>
  <si>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</si>
  <si>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</si>
  <si>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</si>
  <si>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</si>
  <si>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</si>
  <si>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</si>
  <si>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</si>
  <si>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</si>
  <si>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</si>
  <si>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</si>
  <si>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</si>
  <si>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</si>
  <si>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</si>
  <si>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</si>
  <si>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</si>
  <si>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</si>
  <si>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</si>
  <si>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</si>
  <si>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</si>
  <si>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</si>
  <si>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</si>
  <si>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</si>
  <si>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</si>
  <si>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</si>
  <si>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</si>
  <si>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</si>
  <si>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</si>
  <si>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</si>
  <si>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</si>
  <si>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</si>
  <si>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</si>
  <si>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</si>
  <si>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</si>
  <si>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</si>
  <si>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</si>
  <si>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</si>
  <si>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</si>
  <si>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</si>
  <si>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</si>
  <si>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</si>
  <si>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</si>
  <si>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</si>
  <si>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</si>
  <si>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</si>
  <si>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</si>
  <si>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</si>
  <si>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</si>
  <si>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</si>
  <si>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</si>
  <si>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</si>
  <si>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</si>
  <si>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</si>
  <si>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</si>
  <si>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</si>
  <si>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</si>
  <si>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</si>
  <si>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</si>
  <si>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</si>
  <si>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</si>
  <si>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</si>
  <si>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</si>
  <si>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</si>
  <si>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</si>
  <si>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</si>
  <si>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</si>
  <si>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</si>
  <si>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</si>
  <si>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</si>
  <si>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</si>
  <si>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</si>
  <si>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</si>
  <si>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</si>
  <si>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</si>
  <si>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</si>
  <si>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</si>
  <si>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</si>
  <si>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</si>
  <si>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</si>
  <si>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</si>
  <si>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</si>
  <si>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</si>
  <si>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</si>
  <si>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</si>
  <si>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</si>
  <si>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</si>
  <si>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</si>
  <si>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</si>
  <si>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</si>
  <si>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</si>
  <si>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</si>
  <si>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</si>
  <si>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</si>
  <si>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</si>
  <si>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</si>
  <si>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</si>
  <si>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</si>
  <si>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</si>
  <si>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</si>
  <si>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</si>
  <si>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</si>
  <si>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</si>
  <si>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</si>
  <si>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</si>
  <si>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</si>
  <si>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</si>
  <si>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</si>
  <si>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</si>
  <si>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</si>
  <si>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</si>
  <si>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</si>
  <si>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</si>
  <si>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</si>
  <si>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</si>
  <si>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</si>
  <si>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</si>
  <si>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</si>
  <si>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</si>
  <si>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</si>
  <si>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</si>
  <si>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</si>
  <si>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</si>
  <si>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</si>
  <si>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</si>
  <si>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</si>
  <si>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</si>
  <si>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</si>
  <si>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</si>
  <si>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</si>
  <si>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</si>
  <si>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</si>
  <si>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</si>
  <si>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</si>
  <si>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</si>
  <si>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</si>
  <si>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</si>
  <si>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</si>
  <si>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</si>
  <si>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</si>
  <si>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</si>
  <si>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</si>
  <si>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</si>
  <si>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</si>
  <si>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</si>
  <si>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</si>
  <si>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</si>
  <si>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</si>
  <si>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</si>
  <si>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</si>
  <si>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</si>
  <si>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</si>
  <si>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</si>
  <si>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</si>
  <si>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</si>
  <si>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</si>
  <si>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</si>
  <si>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</si>
  <si>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</si>
  <si>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</si>
  <si>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</si>
  <si>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</si>
  <si>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</si>
  <si>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</si>
  <si>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</si>
  <si>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</si>
  <si>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</si>
  <si>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</si>
  <si>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</si>
  <si>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</si>
  <si>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</si>
  <si>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</si>
  <si>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</si>
  <si>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</si>
  <si>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</si>
  <si>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</si>
  <si>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</si>
  <si>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</si>
  <si>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</si>
  <si>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</si>
  <si>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</si>
  <si>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</si>
  <si>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</si>
  <si>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</si>
  <si>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</si>
  <si>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</si>
  <si>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</si>
  <si>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</si>
  <si>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</si>
  <si>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</si>
  <si>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</si>
  <si>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</si>
  <si>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</si>
  <si>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</si>
  <si>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</si>
  <si>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</si>
  <si>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</si>
  <si>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</si>
  <si>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</si>
  <si>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</si>
  <si>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</si>
  <si>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</si>
  <si>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</si>
  <si>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</si>
  <si>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</si>
  <si>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</si>
  <si>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</si>
  <si>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</si>
  <si>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</si>
  <si>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</si>
  <si>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</si>
  <si>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</si>
  <si>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</si>
  <si>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</si>
  <si>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</si>
  <si>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</si>
  <si>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</si>
  <si>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</si>
  <si>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</si>
  <si>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</si>
  <si>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</si>
  <si>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</si>
  <si>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</si>
  <si>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</si>
  <si>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</si>
  <si>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</si>
  <si>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</si>
  <si>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</si>
  <si>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</si>
  <si>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</si>
  <si>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</si>
  <si>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</si>
  <si>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</si>
  <si>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</si>
  <si>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</si>
  <si>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</si>
  <si>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</si>
  <si>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</si>
  <si>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</si>
  <si>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</si>
  <si>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</si>
  <si>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</si>
  <si>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</si>
  <si>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</si>
  <si>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</si>
  <si>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</si>
  <si>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</si>
  <si>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</si>
  <si>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</si>
  <si>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</si>
  <si>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</si>
  <si>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</si>
  <si>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</si>
  <si>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</si>
  <si>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</si>
  <si>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</si>
  <si>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</si>
  <si>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</si>
  <si>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</si>
  <si>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</si>
  <si>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</si>
  <si>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</si>
  <si>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</si>
  <si>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</si>
  <si>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</si>
  <si>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</si>
  <si>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</si>
  <si>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</si>
  <si>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</si>
  <si>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</si>
  <si>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</si>
  <si>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</si>
  <si>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</si>
  <si>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</si>
  <si>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</si>
  <si>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</si>
  <si>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</si>
  <si>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</si>
  <si>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</si>
  <si>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</si>
  <si>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</si>
  <si>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</si>
  <si>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</si>
  <si>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</si>
  <si>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</si>
  <si>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</si>
  <si>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</si>
  <si>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</si>
  <si>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</si>
  <si>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</si>
  <si>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</si>
  <si>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</si>
  <si>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</si>
  <si>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</si>
  <si>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</si>
  <si>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</si>
  <si>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</si>
  <si>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</si>
  <si>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</si>
  <si>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</si>
  <si>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</si>
  <si>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</si>
  <si>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</si>
  <si>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</si>
  <si>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</si>
  <si>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</si>
  <si>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</si>
  <si>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</si>
  <si>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</si>
  <si>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</si>
  <si>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</si>
  <si>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</si>
  <si>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</si>
  <si>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</si>
  <si>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</si>
  <si>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</si>
  <si>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</si>
  <si>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</si>
  <si>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</si>
  <si>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</si>
  <si>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</si>
  <si>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</si>
  <si>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</si>
  <si>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</si>
  <si>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</si>
  <si>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</si>
  <si>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</si>
  <si>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</si>
  <si>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</si>
  <si>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</si>
  <si>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</si>
  <si>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</si>
  <si>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</si>
  <si>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</si>
  <si>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</si>
  <si>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</si>
  <si>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</si>
  <si>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</si>
  <si>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</si>
  <si>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</si>
  <si>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</si>
  <si>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</si>
  <si>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</si>
  <si>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</si>
  <si>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</si>
  <si>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</si>
  <si>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</si>
  <si>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</si>
  <si>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</si>
  <si>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</si>
  <si>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</si>
  <si>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</si>
  <si>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</si>
  <si>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</si>
  <si>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</si>
  <si>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</si>
  <si>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</si>
  <si>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</si>
  <si>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</si>
  <si>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</si>
  <si>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</si>
  <si>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</si>
  <si>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</si>
  <si>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</si>
  <si>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</si>
  <si>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</si>
  <si>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</si>
  <si>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</si>
  <si>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</si>
  <si>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</si>
  <si>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</si>
  <si>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</si>
  <si>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</si>
  <si>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</si>
  <si>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</si>
  <si>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</si>
  <si>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</si>
  <si>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</si>
  <si>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</si>
  <si>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</si>
  <si>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</si>
  <si>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</si>
  <si>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</si>
  <si>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</si>
  <si>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</si>
  <si>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</si>
  <si>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</si>
  <si>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</si>
  <si>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</si>
  <si>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</si>
  <si>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</si>
  <si>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</si>
  <si>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</si>
  <si>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</si>
  <si>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</si>
  <si>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</si>
  <si>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</si>
  <si>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</si>
  <si>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</si>
  <si>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</si>
  <si>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</si>
  <si>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</si>
  <si>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</si>
  <si>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</si>
  <si>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</si>
  <si>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</si>
  <si>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</si>
  <si>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</si>
  <si>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</si>
  <si>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</si>
  <si>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</si>
  <si>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</si>
  <si>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</si>
  <si>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</si>
  <si>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</si>
  <si>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</si>
  <si>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</si>
  <si>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</si>
  <si>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</si>
  <si>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</si>
  <si>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</si>
  <si>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</si>
  <si>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</si>
  <si>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</si>
  <si>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</si>
  <si>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</si>
  <si>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</si>
  <si>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</si>
  <si>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</si>
  <si>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</si>
  <si>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</si>
  <si>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</si>
  <si>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</si>
  <si>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</si>
  <si>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</si>
  <si>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</si>
  <si>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</si>
  <si>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</si>
  <si>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</si>
  <si>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</si>
  <si>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</si>
  <si>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</si>
  <si>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</si>
  <si>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</si>
  <si>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</si>
  <si>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</si>
  <si>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</si>
  <si>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</si>
  <si>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</si>
  <si>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</si>
  <si>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</si>
  <si>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</si>
  <si>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</si>
  <si>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</si>
  <si>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</si>
  <si>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</si>
  <si>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</si>
  <si>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</si>
  <si>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</si>
  <si>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</si>
  <si>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</si>
  <si>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</si>
  <si>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</si>
  <si>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</si>
  <si>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</si>
  <si>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</si>
  <si>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</si>
  <si>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</si>
  <si>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</si>
  <si>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</si>
  <si>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</si>
  <si>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</si>
  <si>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</si>
  <si>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</si>
  <si>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</si>
  <si>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</si>
  <si>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</si>
  <si>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</si>
  <si>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</si>
  <si>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</si>
  <si>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</si>
  <si>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</si>
  <si>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</si>
  <si>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</si>
  <si>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</si>
  <si>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</si>
  <si>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</si>
  <si>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</si>
  <si>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</si>
  <si>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</si>
  <si>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</si>
  <si>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</si>
  <si>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</si>
  <si>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</si>
  <si>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</si>
  <si>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</si>
  <si>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</si>
  <si>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</si>
  <si>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</si>
  <si>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</si>
  <si>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</si>
  <si>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</si>
  <si>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</si>
  <si>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</si>
  <si>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</si>
  <si>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</si>
  <si>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</si>
  <si>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</si>
  <si>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</si>
  <si>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</si>
  <si>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</si>
  <si>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</si>
  <si>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</si>
  <si>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</si>
  <si>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</si>
  <si>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</si>
  <si>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</si>
  <si>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</si>
  <si>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</si>
  <si>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</si>
  <si>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</si>
  <si>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</si>
  <si>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</si>
  <si>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</si>
  <si>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</si>
  <si>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</si>
  <si>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</si>
  <si>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</si>
  <si>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</si>
  <si>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</si>
  <si>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</si>
  <si>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</si>
  <si>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</si>
  <si>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</si>
  <si>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</si>
  <si>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</si>
  <si>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</si>
  <si>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</si>
  <si>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</si>
  <si>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</si>
  <si>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</si>
  <si>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</si>
  <si>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</si>
  <si>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</si>
  <si>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</si>
  <si>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</si>
  <si>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</si>
  <si>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</si>
  <si>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</si>
  <si>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</si>
  <si>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</si>
  <si>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</si>
  <si>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</si>
  <si>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</si>
  <si>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</si>
  <si>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</si>
  <si>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</si>
  <si>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</si>
  <si>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</si>
  <si>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</si>
  <si>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</si>
  <si>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</si>
  <si>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</si>
  <si>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</si>
  <si>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</si>
  <si>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</si>
  <si>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</si>
  <si>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</si>
  <si>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</si>
  <si>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</si>
  <si>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</si>
  <si>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</si>
  <si>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</si>
  <si>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</si>
  <si>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</si>
  <si>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</si>
  <si>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</si>
  <si>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</si>
  <si>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</si>
  <si>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</si>
  <si>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</si>
  <si>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</si>
  <si>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</si>
  <si>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</si>
  <si>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</si>
  <si>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</si>
  <si>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</si>
  <si>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</si>
  <si>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</si>
  <si>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</si>
  <si>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</si>
  <si>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</si>
  <si>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</si>
  <si>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</si>
  <si>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</si>
  <si>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</si>
  <si>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</si>
  <si>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</si>
  <si>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</si>
  <si>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</si>
  <si>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</si>
  <si>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</si>
  <si>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</si>
  <si>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</si>
  <si>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</si>
  <si>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</si>
  <si>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</si>
  <si>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</si>
  <si>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</si>
  <si>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</si>
  <si>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</si>
  <si>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</si>
  <si>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</si>
  <si>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</si>
  <si>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</si>
  <si>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</si>
  <si>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</si>
  <si>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</si>
  <si>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</si>
  <si>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</si>
  <si>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</si>
  <si>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</si>
  <si>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</si>
  <si>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</si>
  <si>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</si>
  <si>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</si>
  <si>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</si>
  <si>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</si>
  <si>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</si>
  <si>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</si>
  <si>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</si>
  <si>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</si>
  <si>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</si>
  <si>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</si>
  <si>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</si>
  <si>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</si>
  <si>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</si>
  <si>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</si>
  <si>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</si>
  <si>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</si>
  <si>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</si>
  <si>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</si>
  <si>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</si>
  <si>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</si>
  <si>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</si>
  <si>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</si>
  <si>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</si>
  <si>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</si>
  <si>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</si>
  <si>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</si>
  <si>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</si>
  <si>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</si>
  <si>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</si>
  <si>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</si>
  <si>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</si>
  <si>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</si>
  <si>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</si>
  <si>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</si>
  <si>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</si>
  <si>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</si>
  <si>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</si>
  <si>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</si>
  <si>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</si>
  <si>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</si>
  <si>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</si>
  <si>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</si>
  <si>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</si>
  <si>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</si>
  <si>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</si>
  <si>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</si>
  <si>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</si>
  <si>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</si>
  <si>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</si>
  <si>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</si>
  <si>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</si>
  <si>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</si>
  <si>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</si>
  <si>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</si>
  <si>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</si>
  <si>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</si>
  <si>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</si>
  <si>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</si>
  <si>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</si>
  <si>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</si>
  <si>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</si>
  <si>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</si>
  <si>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</si>
  <si>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</si>
  <si>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</si>
  <si>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</si>
  <si>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</si>
  <si>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</si>
  <si>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</si>
  <si>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</si>
  <si>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</si>
  <si>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</si>
  <si>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</si>
  <si>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</si>
  <si>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</si>
  <si>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</si>
  <si>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</si>
  <si>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</si>
  <si>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</si>
  <si>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</si>
  <si>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</si>
  <si>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</si>
  <si>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</si>
  <si>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</si>
  <si>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</si>
  <si>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</si>
  <si>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</si>
  <si>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</si>
  <si>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</si>
  <si>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</si>
  <si>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</si>
  <si>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</si>
  <si>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</si>
  <si>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</si>
  <si>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</si>
  <si>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</si>
  <si>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</si>
  <si>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</si>
  <si>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</si>
  <si>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</si>
  <si>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</si>
  <si>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</si>
  <si>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</si>
  <si>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</si>
  <si>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</si>
  <si>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</si>
  <si>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</si>
  <si>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</si>
  <si>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</si>
  <si>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</si>
  <si>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</si>
  <si>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</si>
  <si>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</si>
  <si>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</si>
  <si>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</si>
  <si>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</si>
  <si>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</si>
  <si>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</si>
  <si>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</si>
  <si>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</si>
  <si>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</si>
  <si>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</si>
  <si>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</si>
  <si>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</si>
  <si>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</si>
  <si>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</si>
  <si>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</si>
  <si>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</si>
  <si>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</si>
  <si>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</si>
  <si>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</si>
  <si>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</si>
  <si>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</si>
  <si>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</si>
  <si>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</si>
  <si>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</si>
  <si>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</si>
  <si>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</si>
  <si>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</si>
  <si>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</si>
  <si>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</si>
  <si>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</si>
  <si>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</si>
  <si>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</si>
  <si>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</si>
  <si>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</si>
  <si>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</si>
  <si>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</si>
  <si>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</si>
  <si>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</si>
  <si>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</si>
  <si>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</si>
  <si>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</si>
  <si>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</si>
  <si>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</si>
  <si>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</si>
  <si>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</si>
  <si>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</si>
  <si>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</si>
  <si>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</si>
  <si>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</si>
  <si>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</si>
  <si>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</si>
  <si>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</si>
  <si>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</si>
  <si>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</si>
  <si>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</si>
  <si>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</si>
  <si>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</si>
  <si>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</si>
  <si>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</si>
  <si>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</si>
  <si>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</si>
  <si>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</si>
  <si>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</si>
  <si>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</si>
  <si>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</si>
  <si>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</si>
  <si>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</si>
  <si>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</si>
  <si>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</si>
  <si>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</si>
  <si>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</si>
  <si>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</si>
  <si>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</si>
  <si>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</si>
  <si>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</si>
  <si>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</si>
  <si>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</si>
  <si>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</si>
  <si>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</si>
  <si>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</si>
  <si>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</si>
  <si>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</si>
  <si>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</si>
  <si>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</si>
  <si>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</si>
  <si>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</si>
  <si>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</si>
  <si>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</si>
  <si>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</si>
  <si>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</si>
  <si>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</si>
  <si>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</si>
  <si>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</si>
  <si>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</si>
  <si>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</si>
  <si>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</si>
  <si>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</si>
  <si>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</si>
  <si>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</si>
  <si>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</si>
  <si>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</si>
  <si>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</si>
  <si>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</si>
  <si>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</si>
  <si>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</si>
  <si>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</si>
  <si>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</si>
  <si>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</si>
  <si>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</si>
  <si>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</si>
  <si>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</si>
  <si>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</si>
  <si>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</si>
  <si>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</si>
  <si>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</si>
  <si>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</si>
  <si>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</si>
  <si>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</si>
  <si>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</si>
  <si>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</si>
  <si>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</si>
  <si>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</si>
  <si>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</si>
  <si>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</si>
  <si>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</si>
  <si>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</si>
  <si>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</si>
  <si>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</si>
  <si>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</si>
  <si>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</si>
  <si>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</si>
  <si>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</si>
  <si>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</si>
  <si>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</si>
  <si>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</si>
  <si>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</si>
  <si>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</si>
  <si>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</si>
  <si>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</si>
  <si>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</si>
  <si>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</si>
  <si>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</si>
  <si>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</si>
  <si>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</si>
  <si>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</si>
  <si>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</si>
  <si>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</si>
  <si>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</si>
  <si>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</si>
  <si>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</si>
  <si>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</si>
  <si>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</si>
  <si>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</si>
  <si>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</si>
  <si>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</si>
  <si>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</si>
  <si>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</si>
  <si>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</si>
  <si>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</si>
  <si>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</si>
  <si>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</si>
  <si>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</si>
  <si>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</si>
  <si>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</si>
  <si>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</si>
  <si>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</si>
  <si>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</si>
  <si>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</si>
  <si>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</si>
  <si>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</si>
  <si>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</si>
  <si>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</si>
  <si>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</si>
  <si>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</si>
  <si>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</si>
  <si>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</si>
  <si>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</si>
  <si>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</si>
  <si>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</si>
  <si>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</si>
  <si>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</si>
  <si>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</si>
  <si>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</si>
  <si>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</si>
  <si>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</si>
  <si>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</si>
  <si>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</si>
  <si>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</si>
  <si>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</si>
  <si>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</si>
  <si>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</si>
  <si>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</si>
  <si>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</si>
  <si>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</si>
  <si>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</si>
  <si>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</si>
  <si>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</si>
  <si>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</si>
  <si>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</si>
  <si>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</si>
  <si>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</si>
  <si>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</si>
  <si>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</si>
  <si>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</si>
  <si>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</si>
  <si>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</si>
  <si>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</si>
  <si>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</si>
  <si>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</si>
  <si>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</si>
  <si>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</si>
  <si>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</si>
  <si>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</si>
  <si>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</si>
  <si>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</si>
  <si>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</si>
  <si>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</si>
  <si>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</si>
  <si>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</si>
  <si>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</si>
  <si>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</si>
  <si>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</si>
  <si>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</si>
  <si>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</si>
  <si>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</si>
  <si>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</si>
  <si>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</si>
  <si>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</si>
  <si>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</si>
  <si>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</si>
  <si>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</si>
  <si>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</si>
  <si>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</si>
  <si>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</si>
  <si>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</si>
  <si>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</si>
  <si>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</si>
  <si>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</si>
  <si>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</si>
  <si>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</si>
  <si>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</si>
  <si>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</si>
  <si>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</si>
  <si>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</si>
  <si>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</si>
  <si>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</si>
  <si>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</si>
  <si>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</si>
  <si>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</si>
  <si>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</si>
  <si>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</si>
  <si>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</si>
  <si>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</si>
  <si>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</si>
  <si>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</si>
  <si>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</si>
  <si>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</si>
  <si>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</si>
  <si>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</si>
  <si>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</si>
  <si>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</si>
  <si>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</si>
  <si>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</si>
  <si>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</si>
  <si>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</si>
  <si>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</si>
  <si>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</si>
  <si>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</si>
  <si>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</si>
  <si>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</si>
  <si>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</si>
  <si>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</si>
  <si>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</si>
  <si>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</si>
  <si>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</si>
  <si>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</si>
  <si>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</si>
  <si>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</si>
  <si>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</si>
  <si>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</si>
  <si>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</si>
  <si>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</si>
  <si>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</si>
  <si>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</si>
  <si>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</si>
  <si>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</si>
  <si>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</si>
  <si>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</si>
  <si>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</si>
  <si>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</si>
  <si>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</si>
  <si>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</si>
  <si>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</si>
  <si>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</si>
  <si>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</si>
  <si>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</si>
  <si>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</si>
  <si>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</si>
  <si>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</si>
  <si>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</si>
  <si>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</si>
  <si>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</si>
  <si>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</si>
  <si>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</si>
  <si>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</si>
  <si>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</si>
  <si>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</si>
  <si>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</si>
  <si>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</si>
  <si>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</si>
  <si>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</si>
  <si>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</si>
  <si>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</si>
  <si>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</si>
  <si>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</si>
  <si>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</si>
  <si>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</si>
  <si>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</si>
  <si>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</si>
  <si>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</si>
  <si>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</si>
  <si>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</si>
  <si>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</si>
  <si>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</si>
  <si>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</si>
  <si>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</si>
  <si>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</si>
  <si>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</si>
  <si>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</si>
  <si>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</si>
  <si>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</si>
  <si>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</si>
  <si>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</si>
  <si>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</si>
  <si>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</si>
  <si>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</si>
  <si>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</si>
  <si>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</si>
  <si>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</si>
  <si>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</si>
  <si>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</si>
  <si>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</si>
  <si>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</si>
  <si>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</si>
  <si>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</si>
  <si>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</si>
  <si>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</si>
  <si>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</si>
  <si>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</si>
  <si>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</si>
  <si>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</si>
  <si>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</si>
  <si>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</si>
  <si>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</si>
  <si>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</si>
  <si>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</si>
  <si>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</si>
  <si>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</si>
  <si>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</si>
  <si>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</si>
  <si>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</si>
  <si>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</si>
  <si>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</si>
  <si>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</si>
  <si>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</si>
  <si>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</si>
  <si>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</si>
  <si>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</si>
  <si>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</si>
  <si>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</si>
  <si>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</si>
  <si>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</si>
  <si>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</si>
  <si>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</si>
  <si>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</si>
  <si>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</si>
  <si>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</si>
  <si>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</si>
  <si>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</si>
  <si>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</si>
  <si>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</si>
  <si>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</si>
  <si>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</si>
  <si>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</si>
  <si>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</si>
  <si>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</si>
  <si>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</si>
  <si>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</si>
  <si>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</si>
  <si>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</si>
  <si>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</si>
  <si>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</si>
  <si>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</si>
  <si>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</si>
  <si>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</si>
  <si>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</si>
  <si>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</si>
  <si>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</si>
  <si>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</si>
  <si>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</si>
  <si>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</si>
  <si>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</si>
  <si>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</si>
  <si>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</si>
  <si>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</si>
  <si>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</si>
  <si>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</si>
  <si>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</si>
  <si>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</si>
  <si>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</si>
  <si>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</si>
  <si>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</si>
  <si>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</si>
  <si>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</si>
  <si>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</si>
  <si>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</si>
  <si>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</si>
  <si>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</si>
  <si>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</si>
  <si>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</si>
  <si>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</si>
  <si>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</si>
  <si>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</si>
  <si>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</si>
  <si>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</si>
  <si>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</si>
  <si>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</si>
  <si>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</si>
  <si>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</si>
  <si>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</si>
  <si>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</si>
  <si>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</si>
  <si>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</si>
  <si>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</si>
  <si>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</si>
  <si>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</si>
  <si>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</si>
  <si>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</si>
  <si>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</si>
  <si>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</si>
  <si>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</si>
  <si>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</si>
  <si>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</si>
  <si>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</si>
  <si>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</si>
  <si>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</si>
  <si>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</si>
  <si>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</si>
  <si>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</si>
  <si>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</si>
  <si>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</si>
  <si>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</si>
  <si>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</si>
  <si>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</si>
  <si>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</si>
  <si>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</si>
  <si>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</si>
  <si>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</si>
  <si>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</si>
  <si>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</si>
  <si>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</si>
  <si>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</si>
  <si>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</si>
  <si>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</si>
  <si>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</si>
  <si>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</si>
  <si>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</si>
  <si>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</si>
  <si>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</si>
  <si>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</si>
  <si>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</si>
  <si>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</si>
  <si>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</si>
  <si>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</si>
  <si>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</si>
  <si>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</si>
  <si>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</si>
  <si>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</si>
  <si>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</si>
  <si>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</si>
  <si>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</si>
  <si>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</si>
  <si>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</si>
  <si>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</si>
  <si>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</si>
  <si>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</si>
  <si>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</si>
  <si>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</si>
  <si>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</si>
  <si>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</si>
  <si>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</si>
  <si>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</si>
  <si>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</si>
  <si>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</si>
  <si>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</si>
  <si>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</si>
  <si>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</si>
  <si>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</si>
  <si>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</si>
  <si>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</si>
  <si>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</si>
  <si>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</si>
  <si>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</si>
  <si>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</si>
  <si>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</si>
  <si>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</si>
  <si>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</si>
  <si>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</si>
  <si>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</si>
  <si>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</si>
  <si>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</si>
  <si>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</si>
  <si>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</si>
  <si>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</si>
  <si>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</si>
  <si>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</si>
  <si>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</si>
  <si>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</si>
  <si>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</si>
  <si>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</si>
  <si>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</si>
  <si>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</si>
  <si>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</si>
  <si>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</si>
  <si>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</si>
  <si>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</si>
  <si>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</si>
  <si>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</si>
  <si>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</si>
  <si>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</si>
  <si>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</si>
  <si>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</si>
  <si>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</si>
  <si>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</si>
  <si>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</si>
  <si>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</si>
  <si>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</si>
  <si>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</si>
  <si>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</si>
  <si>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</si>
  <si>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</si>
  <si>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</si>
  <si>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</si>
  <si>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</si>
  <si>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</si>
  <si>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</si>
  <si>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</si>
  <si>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</si>
  <si>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</si>
  <si>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</si>
  <si>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</si>
  <si>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</si>
  <si>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</si>
  <si>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</si>
  <si>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</si>
  <si>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</si>
  <si>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</si>
  <si>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</si>
  <si>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</si>
  <si>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</si>
  <si>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</si>
  <si>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</si>
  <si>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</si>
  <si>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</si>
  <si>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</si>
  <si>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</si>
  <si>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</si>
  <si>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</si>
  <si>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</si>
  <si>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</si>
  <si>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</si>
  <si>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</si>
  <si>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</si>
  <si>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</si>
  <si>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</si>
  <si>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</si>
  <si>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</si>
  <si>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</si>
  <si>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</si>
  <si>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</si>
  <si>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</si>
  <si>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</si>
  <si>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</si>
  <si>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</si>
  <si>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</si>
  <si>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</si>
  <si>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</si>
  <si>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</si>
  <si>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</si>
  <si>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</si>
  <si>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</si>
  <si>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</si>
  <si>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</si>
  <si>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</si>
  <si>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</si>
  <si>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</si>
  <si>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</si>
  <si>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</si>
  <si>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</si>
  <si>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</si>
  <si>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</si>
  <si>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</si>
  <si>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</si>
  <si>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</si>
  <si>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</si>
  <si>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</si>
  <si>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</si>
  <si>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</si>
  <si>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</si>
  <si>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</si>
  <si>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</si>
  <si>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</si>
  <si>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</si>
  <si>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</si>
  <si>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</si>
  <si>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</si>
  <si>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</si>
  <si>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</si>
  <si>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</si>
  <si>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</si>
  <si>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</si>
  <si>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</si>
  <si>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</si>
  <si>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</si>
  <si>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</si>
  <si>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</si>
  <si>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</si>
  <si>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</si>
  <si>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</si>
  <si>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</si>
  <si>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</si>
  <si>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</si>
  <si>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</si>
  <si>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</si>
  <si>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</si>
  <si>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</si>
  <si>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</si>
  <si>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</si>
  <si>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</si>
  <si>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</si>
  <si>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</si>
  <si>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</si>
  <si>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</si>
  <si>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</si>
  <si>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</si>
  <si>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</si>
  <si>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</si>
  <si>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</si>
  <si>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</si>
  <si>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</si>
  <si>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</si>
  <si>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</si>
  <si>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</si>
  <si>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</si>
  <si>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</si>
  <si>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</si>
  <si>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</si>
  <si>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</si>
  <si>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</si>
  <si>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</si>
  <si>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</si>
  <si>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</si>
  <si>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</si>
  <si>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</si>
  <si>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</si>
  <si>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</si>
  <si>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</si>
  <si>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</si>
  <si>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</si>
  <si>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</si>
  <si>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</si>
  <si>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</si>
  <si>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</si>
  <si>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</si>
  <si>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</si>
  <si>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</si>
  <si>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</si>
  <si>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</si>
  <si>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</si>
  <si>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</si>
  <si>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</si>
  <si>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</si>
  <si>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</si>
  <si>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</si>
  <si>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</si>
  <si>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</si>
  <si>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</si>
  <si>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</si>
  <si>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</si>
  <si>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</si>
  <si>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</si>
  <si>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</si>
  <si>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</si>
  <si>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</si>
  <si>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</si>
  <si>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</si>
  <si>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</si>
  <si>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</si>
  <si>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</si>
  <si>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</si>
  <si>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</si>
  <si>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</si>
  <si>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</si>
  <si>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</si>
  <si>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</si>
  <si>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</si>
  <si>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</si>
  <si>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</si>
  <si>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</si>
  <si>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</si>
  <si>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</si>
  <si>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</si>
  <si>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</si>
  <si>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</si>
  <si>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</si>
  <si>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</si>
  <si>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</si>
  <si>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</si>
  <si>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</si>
  <si>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</si>
  <si>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</si>
  <si>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</si>
  <si>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</si>
  <si>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</si>
  <si>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</si>
  <si>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</si>
  <si>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</si>
  <si>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</si>
  <si>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</si>
  <si>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</si>
  <si>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</si>
  <si>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</si>
  <si>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</si>
  <si>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</si>
  <si>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</si>
  <si>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</si>
  <si>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</si>
  <si>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</si>
  <si>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</si>
  <si>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</si>
  <si>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</si>
  <si>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</si>
  <si>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</si>
  <si>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</si>
  <si>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</si>
  <si>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</si>
  <si>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</si>
  <si>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</si>
  <si>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</si>
  <si>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</si>
  <si>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</si>
  <si>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</si>
  <si>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</si>
  <si>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</si>
  <si>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</si>
  <si>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</si>
  <si>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</si>
  <si>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</si>
  <si>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</si>
  <si>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</si>
  <si>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</si>
  <si>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</si>
  <si>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</si>
  <si>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</si>
  <si>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</si>
  <si>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</si>
  <si>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</si>
  <si>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</si>
  <si>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</si>
  <si>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</si>
  <si>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</si>
  <si>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</si>
  <si>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</si>
  <si>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</si>
  <si>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</si>
  <si>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</si>
  <si>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</si>
  <si>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</si>
  <si>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</si>
  <si>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</si>
  <si>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</si>
  <si>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</si>
  <si>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</si>
  <si>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</si>
  <si>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</si>
  <si>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</si>
  <si>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</si>
  <si>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</si>
  <si>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</si>
  <si>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</si>
  <si>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</si>
  <si>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</si>
  <si>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</si>
  <si>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</si>
  <si>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</si>
  <si>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</si>
  <si>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</si>
  <si>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</si>
  <si>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</si>
  <si>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</si>
  <si>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</si>
  <si>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</si>
  <si>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</si>
  <si>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</si>
  <si>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</si>
  <si>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</si>
  <si>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</si>
  <si>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</si>
  <si>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</si>
  <si>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</si>
  <si>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</si>
  <si>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</si>
  <si>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</si>
  <si>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</si>
  <si>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</si>
  <si>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</si>
  <si>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</si>
  <si>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</si>
  <si>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</si>
  <si>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</si>
  <si>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</si>
  <si>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</si>
  <si>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</si>
  <si>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</si>
  <si>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</si>
  <si>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</si>
  <si>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</si>
  <si>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</si>
  <si>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</si>
  <si>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</si>
  <si>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</si>
  <si>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</si>
  <si>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</si>
  <si>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</si>
  <si>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</si>
  <si>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</si>
  <si>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</si>
  <si>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</si>
  <si>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</si>
  <si>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</si>
  <si>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</si>
  <si>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</si>
  <si>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</si>
  <si>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</si>
  <si>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</si>
  <si>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</si>
  <si>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</si>
  <si>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</si>
  <si>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</si>
  <si>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</si>
  <si>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</si>
  <si>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</si>
  <si>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</si>
  <si>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</si>
  <si>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</si>
  <si>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</si>
  <si>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</si>
  <si>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</si>
  <si>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</si>
  <si>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</si>
  <si>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</si>
  <si>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</si>
  <si>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</si>
  <si>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</si>
  <si>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</si>
  <si>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</si>
  <si>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</si>
  <si>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</si>
  <si>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</si>
  <si>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</si>
  <si>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</si>
  <si>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</si>
  <si>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</si>
  <si>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</si>
  <si>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</si>
  <si>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</si>
  <si>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</si>
  <si>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</si>
  <si>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</si>
  <si>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</si>
  <si>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</si>
  <si>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</si>
  <si>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</si>
  <si>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</si>
  <si>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</si>
  <si>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</si>
  <si>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</si>
  <si>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</si>
  <si>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</si>
  <si>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</si>
  <si>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</si>
  <si>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</si>
  <si>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</si>
  <si>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</si>
  <si>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</si>
  <si>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</si>
  <si>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</si>
  <si>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</si>
  <si>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</si>
  <si>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</si>
  <si>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</si>
  <si>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</si>
  <si>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</si>
  <si>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</si>
  <si>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</si>
  <si>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</si>
  <si>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</si>
  <si>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</si>
  <si>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</si>
  <si>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</si>
  <si>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</si>
  <si>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</si>
  <si>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</si>
  <si>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</si>
  <si>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</si>
  <si>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</si>
  <si>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</si>
  <si>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</si>
  <si>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</si>
  <si>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</si>
  <si>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</si>
  <si>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</si>
  <si>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</si>
  <si>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</si>
  <si>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</si>
  <si>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</si>
  <si>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</si>
  <si>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</si>
  <si>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</si>
  <si>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</si>
  <si>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</si>
  <si>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</si>
  <si>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</si>
  <si>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</si>
  <si>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</si>
  <si>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</si>
  <si>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</si>
  <si>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</si>
  <si>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</si>
  <si>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</si>
  <si>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</si>
  <si>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</si>
  <si>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</si>
  <si>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</si>
  <si>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</si>
  <si>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</si>
  <si>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</si>
  <si>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</si>
  <si>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</si>
  <si>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</si>
  <si>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</si>
  <si>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</si>
  <si>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</si>
  <si>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</si>
  <si>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</si>
  <si>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</si>
  <si>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</si>
  <si>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</si>
  <si>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</si>
  <si>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</si>
  <si>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</si>
  <si>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</si>
  <si>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</si>
  <si>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</si>
  <si>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</si>
  <si>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</si>
  <si>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</si>
  <si>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</si>
  <si>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</si>
  <si>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</si>
  <si>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</si>
  <si>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</si>
  <si>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</si>
  <si>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</si>
  <si>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</si>
  <si>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</si>
  <si>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</si>
  <si>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</si>
  <si>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</si>
  <si>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</si>
  <si>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</si>
  <si>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</si>
  <si>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</si>
  <si>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</si>
  <si>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</si>
  <si>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</si>
  <si>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</si>
  <si>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</si>
  <si>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</si>
  <si>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</si>
  <si>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</si>
  <si>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</si>
  <si>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</si>
  <si>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</si>
  <si>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</si>
  <si>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</si>
  <si>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</si>
  <si>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</si>
  <si>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</si>
  <si>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</si>
  <si>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</si>
  <si>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</si>
  <si>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</si>
  <si>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</si>
  <si>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</si>
  <si>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</si>
  <si>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</si>
  <si>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</si>
  <si>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</si>
  <si>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</si>
  <si>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</si>
  <si>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</si>
  <si>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</si>
  <si>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</si>
  <si>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</si>
  <si>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</si>
  <si>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</si>
  <si>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</si>
  <si>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</si>
  <si>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</si>
  <si>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</si>
  <si>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</si>
  <si>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</si>
  <si>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</si>
  <si>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</si>
  <si>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</si>
  <si>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</si>
  <si>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</si>
  <si>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</si>
  <si>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</si>
  <si>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</si>
  <si>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</si>
  <si>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</si>
  <si>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</si>
  <si>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</si>
  <si>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</si>
  <si>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</si>
  <si>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</si>
  <si>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</si>
  <si>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</si>
  <si>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</si>
  <si>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</si>
  <si>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</si>
  <si>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</si>
  <si>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</si>
  <si>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</si>
  <si>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</si>
  <si>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</si>
  <si>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</si>
  <si>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</si>
  <si>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</si>
  <si>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</si>
  <si>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</si>
  <si>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</si>
  <si>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</si>
  <si>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</si>
  <si>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</si>
  <si>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</si>
  <si>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</si>
  <si>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</si>
  <si>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</si>
  <si>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</si>
  <si>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</si>
  <si>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</si>
  <si>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</si>
  <si>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</si>
  <si>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</si>
  <si>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</si>
  <si>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</si>
  <si>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</si>
  <si>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</si>
  <si>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</si>
  <si>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</si>
  <si>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</si>
  <si>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</si>
  <si>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</si>
  <si>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</si>
  <si>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</si>
  <si>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</si>
  <si>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</si>
  <si>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</si>
  <si>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</si>
  <si>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</si>
  <si>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</si>
  <si>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</si>
  <si>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</si>
  <si>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</si>
  <si>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</si>
  <si>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</si>
  <si>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</si>
  <si>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</si>
  <si>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</si>
  <si>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</si>
  <si>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</si>
  <si>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</si>
  <si>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</si>
  <si>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</si>
  <si>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</si>
  <si>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</si>
  <si>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</si>
  <si>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</si>
  <si>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</si>
  <si>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</si>
  <si>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</si>
  <si>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</si>
  <si>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</si>
  <si>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</si>
  <si>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</si>
  <si>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</si>
  <si>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</si>
  <si>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</si>
  <si>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</si>
  <si>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</si>
  <si>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</si>
  <si>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</si>
  <si>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</si>
  <si>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</si>
  <si>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</si>
  <si>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</si>
  <si>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</si>
  <si>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</si>
  <si>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</si>
  <si>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</si>
  <si>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</si>
  <si>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</si>
  <si>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</si>
  <si>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</si>
  <si>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</si>
  <si>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</si>
  <si>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</si>
  <si>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</si>
  <si>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</si>
  <si>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</si>
  <si>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</si>
  <si>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</si>
  <si>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</si>
  <si>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</si>
  <si>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</si>
  <si>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</si>
  <si>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</si>
  <si>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</si>
  <si>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</si>
  <si>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</si>
  <si>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</si>
  <si>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</si>
  <si>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</si>
  <si>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</si>
  <si>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</si>
  <si>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</si>
  <si>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</si>
  <si>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</si>
  <si>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</si>
  <si>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</si>
  <si>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</si>
  <si>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</si>
  <si>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</si>
  <si>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</si>
  <si>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</si>
  <si>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</si>
  <si>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</si>
  <si>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</si>
  <si>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</si>
  <si>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</si>
  <si>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</si>
  <si>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</si>
  <si>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</si>
  <si>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</si>
  <si>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</si>
  <si>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</si>
  <si>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</si>
  <si>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</si>
  <si>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</si>
  <si>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</si>
  <si>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</si>
  <si>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</si>
  <si>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</si>
  <si>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</si>
  <si>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</si>
  <si>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</si>
  <si>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</si>
  <si>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</si>
  <si>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</si>
  <si>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</si>
  <si>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</si>
  <si>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</si>
  <si>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</si>
  <si>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</si>
  <si>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</si>
  <si>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</si>
  <si>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</si>
  <si>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</si>
  <si>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</si>
  <si>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</si>
  <si>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</si>
  <si>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</si>
  <si>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</si>
  <si>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</si>
  <si>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</si>
  <si>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</si>
  <si>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</si>
  <si>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</si>
  <si>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</si>
  <si>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</si>
  <si>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</si>
  <si>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</si>
  <si>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</si>
  <si>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</si>
  <si>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</si>
  <si>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</si>
  <si>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</si>
  <si>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</si>
  <si>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</si>
  <si>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</si>
  <si>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</si>
  <si>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</si>
  <si>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</si>
  <si>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</si>
  <si>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</si>
  <si>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</si>
  <si>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</si>
  <si>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</si>
  <si>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</si>
  <si>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</si>
  <si>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</si>
  <si>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</si>
  <si>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</si>
  <si>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</si>
  <si>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</si>
  <si>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</si>
  <si>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</si>
  <si>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</si>
  <si>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</si>
  <si>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</si>
  <si>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</si>
  <si>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</si>
  <si>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</si>
  <si>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</si>
  <si>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</si>
  <si>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</si>
  <si>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</si>
  <si>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</si>
  <si>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</si>
  <si>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</si>
  <si>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</si>
  <si>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</si>
  <si>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</si>
  <si>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</si>
  <si>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</si>
  <si>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</si>
  <si>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</si>
  <si>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</si>
  <si>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</si>
  <si>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</si>
  <si>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</si>
  <si>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</si>
  <si>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</si>
  <si>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</si>
  <si>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</si>
  <si>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</si>
  <si>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</si>
  <si>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</si>
  <si>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</si>
  <si>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</si>
  <si>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</si>
  <si>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</si>
  <si>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</si>
  <si>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</si>
  <si>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</si>
  <si>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</si>
  <si>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</si>
  <si>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</si>
  <si>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</si>
  <si>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</si>
  <si>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</si>
  <si>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</si>
  <si>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</si>
  <si>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</si>
  <si>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</si>
  <si>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</si>
  <si>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</si>
  <si>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</si>
  <si>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</si>
  <si>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</si>
  <si>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</si>
  <si>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</si>
  <si>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</si>
  <si>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</si>
  <si>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</si>
  <si>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</si>
  <si>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</si>
  <si>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</si>
  <si>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</si>
  <si>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</si>
  <si>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</si>
  <si>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</si>
  <si>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</si>
  <si>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</si>
  <si>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</si>
  <si>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</si>
  <si>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</si>
  <si>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</si>
  <si>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</si>
  <si>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</si>
  <si>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</si>
  <si>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</si>
  <si>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</si>
  <si>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</si>
  <si>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</si>
  <si>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</si>
  <si>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</si>
  <si>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</si>
  <si>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</si>
  <si>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</si>
  <si>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</si>
  <si>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</si>
  <si>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</si>
  <si>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</si>
  <si>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</si>
  <si>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</si>
  <si>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</si>
  <si>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</si>
  <si>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</si>
  <si>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</si>
  <si>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</si>
  <si>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</si>
  <si>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</si>
  <si>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</si>
  <si>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</si>
  <si>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</si>
  <si>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</si>
  <si>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</si>
  <si>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</si>
  <si>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</si>
  <si>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</si>
  <si>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</si>
  <si>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</si>
  <si>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</si>
  <si>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</si>
  <si>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</si>
  <si>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</si>
  <si>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</si>
  <si>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</si>
  <si>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</si>
  <si>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</si>
  <si>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</si>
  <si>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</si>
  <si>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</si>
  <si>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</si>
  <si>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</si>
  <si>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</si>
  <si>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</si>
  <si>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</si>
  <si>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</si>
  <si>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</si>
  <si>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</si>
  <si>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</si>
  <si>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</si>
  <si>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</si>
  <si>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</si>
  <si>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</si>
  <si>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</si>
  <si>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</si>
  <si>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</si>
  <si>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</si>
  <si>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</si>
  <si>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</si>
  <si>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</si>
  <si>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</si>
  <si>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</si>
  <si>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</si>
  <si>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</si>
  <si>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</si>
  <si>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</si>
  <si>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</si>
  <si>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</si>
  <si>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</si>
  <si>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</si>
  <si>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</si>
  <si>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</si>
  <si>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</si>
  <si>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</si>
  <si>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</si>
  <si>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</si>
  <si>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</si>
  <si>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</si>
  <si>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</si>
  <si>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</si>
  <si>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</si>
  <si>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</si>
  <si>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</si>
  <si>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</si>
  <si>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</si>
  <si>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</si>
  <si>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</si>
  <si>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</si>
  <si>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</si>
  <si>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</si>
  <si>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</si>
  <si>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</si>
  <si>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</si>
  <si>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</si>
  <si>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</si>
  <si>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</si>
  <si>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</si>
  <si>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</si>
  <si>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</si>
  <si>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</si>
  <si>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</si>
  <si>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</si>
  <si>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</si>
  <si>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</si>
  <si>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</si>
  <si>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</si>
  <si>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</si>
  <si>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</si>
  <si>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</si>
  <si>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</si>
  <si>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</si>
  <si>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</si>
  <si>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</si>
  <si>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</si>
  <si>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</si>
  <si>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</si>
  <si>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</si>
  <si>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</si>
  <si>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</si>
  <si>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</si>
  <si>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</si>
  <si>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</si>
  <si>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</si>
  <si>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</si>
  <si>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</si>
  <si>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</si>
  <si>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</si>
  <si>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</si>
  <si>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</si>
  <si>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</si>
  <si>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</si>
  <si>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</si>
  <si>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</si>
  <si>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</si>
  <si>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</si>
  <si>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</si>
  <si>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</si>
  <si>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</si>
  <si>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</si>
  <si>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</si>
  <si>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</si>
  <si>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</si>
  <si>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</si>
  <si>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</si>
  <si>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</si>
  <si>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</si>
  <si>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</si>
  <si>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</si>
  <si>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</si>
  <si>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</si>
  <si>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</si>
  <si>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</si>
  <si>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</si>
  <si>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</si>
  <si>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</si>
  <si>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</si>
  <si>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</si>
  <si>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</si>
  <si>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</si>
  <si>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</si>
  <si>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</si>
  <si>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</si>
  <si>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</si>
  <si>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</si>
  <si>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</si>
  <si>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</si>
  <si>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</si>
  <si>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</si>
  <si>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</si>
  <si>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</si>
  <si>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</si>
  <si>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</si>
  <si>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</si>
  <si>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</si>
  <si>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</si>
  <si>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</si>
  <si>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</si>
  <si>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</si>
  <si>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</si>
  <si>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</si>
  <si>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</si>
  <si>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</si>
  <si>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</si>
  <si>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</si>
  <si>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</si>
  <si>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</si>
  <si>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</si>
  <si>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</si>
  <si>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</si>
  <si>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</si>
  <si>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</si>
  <si>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</si>
  <si>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</si>
  <si>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</si>
  <si>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</si>
  <si>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</si>
  <si>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</si>
  <si>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</si>
  <si>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</si>
  <si>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</si>
  <si>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</si>
  <si>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</si>
  <si>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</si>
  <si>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</si>
  <si>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</si>
  <si>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</si>
  <si>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</si>
  <si>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</si>
  <si>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</si>
  <si>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</si>
  <si>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</si>
  <si>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</si>
  <si>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</si>
  <si>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</si>
  <si>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</si>
  <si>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</si>
  <si>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</si>
  <si>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</si>
  <si>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</si>
  <si>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</si>
  <si>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</si>
  <si>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</si>
  <si>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</si>
  <si>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</si>
  <si>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</si>
  <si>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</si>
  <si>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</si>
  <si>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</si>
  <si>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</si>
  <si>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</si>
  <si>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</si>
  <si>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</si>
  <si>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</si>
  <si>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</si>
  <si>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</si>
  <si>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</si>
  <si>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</si>
  <si>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</si>
  <si>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</si>
  <si>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</si>
  <si>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</si>
  <si>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</si>
  <si>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</si>
  <si>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</si>
  <si>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</si>
  <si>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</si>
  <si>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</si>
  <si>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</si>
  <si>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</si>
  <si>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</si>
  <si>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</si>
  <si>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</si>
  <si>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</si>
  <si>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</si>
  <si>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</si>
  <si>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</si>
  <si>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</si>
  <si>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</si>
  <si>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</si>
  <si>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</si>
  <si>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</si>
  <si>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</si>
  <si>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</si>
  <si>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</si>
  <si>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</si>
  <si>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</si>
  <si>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</si>
  <si>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</si>
  <si>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</si>
  <si>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</si>
  <si>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</si>
  <si>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</si>
  <si>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</si>
  <si>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</si>
  <si>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</si>
  <si>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</si>
  <si>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</si>
  <si>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</si>
  <si>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</si>
  <si>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</si>
  <si>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</si>
  <si>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</si>
  <si>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</si>
  <si>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</si>
  <si>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</si>
  <si>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</si>
  <si>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</si>
  <si>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</si>
  <si>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</si>
  <si>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</si>
  <si>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</si>
  <si>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</si>
  <si>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</si>
  <si>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</si>
  <si>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</si>
  <si>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</si>
  <si>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</si>
  <si>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</si>
  <si>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</si>
  <si>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</si>
  <si>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</si>
  <si>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</si>
  <si>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</si>
  <si>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</si>
  <si>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</si>
  <si>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</si>
  <si>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</si>
  <si>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</si>
  <si>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</si>
  <si>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</si>
  <si>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</si>
  <si>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</si>
  <si>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</si>
  <si>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</si>
  <si>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</si>
  <si>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</si>
  <si>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</si>
  <si>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</si>
  <si>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</si>
  <si>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</si>
  <si>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</si>
  <si>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</si>
  <si>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</si>
  <si>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</si>
  <si>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</si>
  <si>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</si>
  <si>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</si>
  <si>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</si>
  <si>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</si>
  <si>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</si>
  <si>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</si>
  <si>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</si>
  <si>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</si>
  <si>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</si>
  <si>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</si>
  <si>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</si>
  <si>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</si>
  <si>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</si>
  <si>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</si>
  <si>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</si>
  <si>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</si>
  <si>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</si>
  <si>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</si>
  <si>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</si>
  <si>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</si>
  <si>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</si>
  <si>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</si>
  <si>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</si>
  <si>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</si>
  <si>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</si>
  <si>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</si>
  <si>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</si>
  <si>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</si>
  <si>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</si>
  <si>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</si>
  <si>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</si>
  <si>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</si>
  <si>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</si>
  <si>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</si>
  <si>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</si>
  <si>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</si>
  <si>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</si>
  <si>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</si>
  <si>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</si>
  <si>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</si>
  <si>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</si>
  <si>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</si>
  <si>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</si>
  <si>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</si>
  <si>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</si>
  <si>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</si>
  <si>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</si>
  <si>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</si>
  <si>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</si>
  <si>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</si>
  <si>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</si>
  <si>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</si>
  <si>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</si>
  <si>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</si>
  <si>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</si>
  <si>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</si>
  <si>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</si>
  <si>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</si>
  <si>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</si>
  <si>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</si>
  <si>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</si>
  <si>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</si>
  <si>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</si>
  <si>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</si>
  <si>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</si>
  <si>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</si>
  <si>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</si>
  <si>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</si>
  <si>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</si>
  <si>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</si>
  <si>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</si>
  <si>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</si>
  <si>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</si>
  <si>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</si>
  <si>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</si>
  <si>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</si>
  <si>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</si>
  <si>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</si>
  <si>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</si>
  <si>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</si>
  <si>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</si>
  <si>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</si>
  <si>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</si>
  <si>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</si>
  <si>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</si>
  <si>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</si>
  <si>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</si>
  <si>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</si>
  <si>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</si>
  <si>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</si>
  <si>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</si>
  <si>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</si>
  <si>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</si>
  <si>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</si>
  <si>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</si>
  <si>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</si>
  <si>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</si>
  <si>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</si>
  <si>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</si>
  <si>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</si>
  <si>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</si>
  <si>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</si>
  <si>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</si>
  <si>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</si>
  <si>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</si>
  <si>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</si>
  <si>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</si>
  <si>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</si>
  <si>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</si>
  <si>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</si>
  <si>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</si>
  <si>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</si>
  <si>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</si>
  <si>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</si>
  <si>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</si>
  <si>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</si>
  <si>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</si>
  <si>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</si>
  <si>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</si>
  <si>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</si>
  <si>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</si>
  <si>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</si>
  <si>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</si>
  <si>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</si>
  <si>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</si>
  <si>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</si>
  <si>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</si>
  <si>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</si>
  <si>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</si>
  <si>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</si>
  <si>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</si>
  <si>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</si>
  <si>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</si>
  <si>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</si>
  <si>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</si>
  <si>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</si>
  <si>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</si>
  <si>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</si>
  <si>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</si>
  <si>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</si>
  <si>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</si>
  <si>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</si>
  <si>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</si>
  <si>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</si>
  <si>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</si>
  <si>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</si>
  <si>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</si>
  <si>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</si>
  <si>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</si>
  <si>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</si>
  <si>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</si>
  <si>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</si>
  <si>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</si>
  <si>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</si>
  <si>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</si>
  <si>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</si>
  <si>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</si>
  <si>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</si>
  <si>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</si>
  <si>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</si>
  <si>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</si>
  <si>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</si>
  <si>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</si>
  <si>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</si>
  <si>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</si>
  <si>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</si>
  <si>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</si>
  <si>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</si>
  <si>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</si>
  <si>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</si>
  <si>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</si>
  <si>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</si>
  <si>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</si>
  <si>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</si>
  <si>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</si>
  <si>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</si>
  <si>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</si>
  <si>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</si>
  <si>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</si>
  <si>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</si>
  <si>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</si>
  <si>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</si>
  <si>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</si>
  <si>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</si>
  <si>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</si>
  <si>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</si>
  <si>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</si>
  <si>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</si>
  <si>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</si>
  <si>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</si>
  <si>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</si>
  <si>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</si>
  <si>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</si>
  <si>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</si>
  <si>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</si>
  <si>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</si>
  <si>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</si>
  <si>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</si>
  <si>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</si>
  <si>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</si>
  <si>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</si>
  <si>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</si>
  <si>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</si>
  <si>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</si>
  <si>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</si>
  <si>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</si>
  <si>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</si>
  <si>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</si>
  <si>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</si>
  <si>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</si>
  <si>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</si>
  <si>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</si>
  <si>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</si>
  <si>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</si>
  <si>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</si>
  <si>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</si>
  <si>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</si>
  <si>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</si>
  <si>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</si>
  <si>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</si>
  <si>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</si>
  <si>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</si>
  <si>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</si>
  <si>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</si>
  <si>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</si>
  <si>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</si>
  <si>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</si>
  <si>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</si>
  <si>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</si>
  <si>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</si>
  <si>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</si>
  <si>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</si>
  <si>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</si>
  <si>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</si>
  <si>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</si>
  <si>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</si>
  <si>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</si>
  <si>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</si>
  <si>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</si>
  <si>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</si>
  <si>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</si>
  <si>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</si>
  <si>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</si>
  <si>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</si>
  <si>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</si>
  <si>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</si>
  <si>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</si>
  <si>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</si>
  <si>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</si>
  <si>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</si>
  <si>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</si>
  <si>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</si>
  <si>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</si>
  <si>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</si>
  <si>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</si>
  <si>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</si>
  <si>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</si>
  <si>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</si>
  <si>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</si>
  <si>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</si>
  <si>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</si>
  <si>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</si>
  <si>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</si>
  <si>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</si>
  <si>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</si>
  <si>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</si>
  <si>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</si>
  <si>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</si>
  <si>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</si>
  <si>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</si>
  <si>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</si>
  <si>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</si>
  <si>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</si>
  <si>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</si>
  <si>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</si>
  <si>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</si>
  <si>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</si>
  <si>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</si>
  <si>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</si>
  <si>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</si>
  <si>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</si>
  <si>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</si>
  <si>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</si>
  <si>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</si>
  <si>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</si>
  <si>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</si>
  <si>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</si>
  <si>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</si>
  <si>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</si>
  <si>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</si>
  <si>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</si>
  <si>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</si>
  <si>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</si>
  <si>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</si>
  <si>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</si>
  <si>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</si>
  <si>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</si>
  <si>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</si>
  <si>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</si>
  <si>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</si>
  <si>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</si>
  <si>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</si>
  <si>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</si>
  <si>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</si>
  <si>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</si>
  <si>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</si>
  <si>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</si>
  <si>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</si>
  <si>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</si>
  <si>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</si>
  <si>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</si>
  <si>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</si>
  <si>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</si>
  <si>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</si>
  <si>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</si>
  <si>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</si>
  <si>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</si>
  <si>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</si>
  <si>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</si>
  <si>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</si>
  <si>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</si>
  <si>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</si>
  <si>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</si>
  <si>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</si>
  <si>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</si>
  <si>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</si>
  <si>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</si>
  <si>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</si>
  <si>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</si>
  <si>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</si>
  <si>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</si>
  <si>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</si>
  <si>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</si>
  <si>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</si>
  <si>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</si>
  <si>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</si>
  <si>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</si>
  <si>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</si>
  <si>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</si>
  <si>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</si>
  <si>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</si>
  <si>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</si>
  <si>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</si>
  <si>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</si>
  <si>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</si>
  <si>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</si>
  <si>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</si>
  <si>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</si>
  <si>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</si>
  <si>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</si>
  <si>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</si>
  <si>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</si>
  <si>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</si>
  <si>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</si>
  <si>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</si>
  <si>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</si>
  <si>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</si>
  <si>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</si>
  <si>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</si>
  <si>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</si>
  <si>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</si>
  <si>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</si>
  <si>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</si>
  <si>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</si>
  <si>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</si>
  <si>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</si>
  <si>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</si>
  <si>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</si>
  <si>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</si>
  <si>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</si>
  <si>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</si>
  <si>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</si>
  <si>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</si>
  <si>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</si>
  <si>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</si>
  <si>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</si>
  <si>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</si>
  <si>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</si>
  <si>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</si>
  <si>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</si>
  <si>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</si>
  <si>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</si>
  <si>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</si>
  <si>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</si>
  <si>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</si>
  <si>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</si>
  <si>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</si>
  <si>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</si>
  <si>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</si>
  <si>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</si>
  <si>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</si>
  <si>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</si>
  <si>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</si>
  <si>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</si>
  <si>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</si>
  <si>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</si>
  <si>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</si>
  <si>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</si>
  <si>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</si>
  <si>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</si>
  <si>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</si>
  <si>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</si>
  <si>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</si>
  <si>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</si>
  <si>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</si>
  <si>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</si>
  <si>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</si>
  <si>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</si>
  <si>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</si>
  <si>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</si>
  <si>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</si>
  <si>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</si>
  <si>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</si>
  <si>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</si>
  <si>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</si>
  <si>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</si>
  <si>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</si>
  <si>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</si>
  <si>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</si>
  <si>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</si>
  <si>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</si>
  <si>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</si>
  <si>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</si>
  <si>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</si>
  <si>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</si>
  <si>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</si>
  <si>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</si>
  <si>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</si>
  <si>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</si>
  <si>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</si>
  <si>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</si>
  <si>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</si>
  <si>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</si>
  <si>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</si>
  <si>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</si>
  <si>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</si>
  <si>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</si>
  <si>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</si>
  <si>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</si>
  <si>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</si>
  <si>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</si>
  <si>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</si>
  <si>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</si>
  <si>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</si>
  <si>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</si>
  <si>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</si>
  <si>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</si>
  <si>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</si>
  <si>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</si>
  <si>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</si>
  <si>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</si>
  <si>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</si>
  <si>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</si>
  <si>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</si>
  <si>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</si>
  <si>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</si>
  <si>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</si>
  <si>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</si>
  <si>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</si>
  <si>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</si>
  <si>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</si>
  <si>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</si>
  <si>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</si>
  <si>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</si>
  <si>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</si>
  <si>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</si>
  <si>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</si>
  <si>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</si>
  <si>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</si>
  <si>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</si>
  <si>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</si>
  <si>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</si>
  <si>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</si>
  <si>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</si>
  <si>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</si>
  <si>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</si>
  <si>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</si>
  <si>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</si>
  <si>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</si>
  <si>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</si>
  <si>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</si>
  <si>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</si>
  <si>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</si>
  <si>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</si>
  <si>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</si>
  <si>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</si>
  <si>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</si>
  <si>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</si>
  <si>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</si>
  <si>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</si>
  <si>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</si>
  <si>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</si>
  <si>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</si>
  <si>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</si>
  <si>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</si>
  <si>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</si>
  <si>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</si>
  <si>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</si>
  <si>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</si>
  <si>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</si>
  <si>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</si>
  <si>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</si>
  <si>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</si>
  <si>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</si>
  <si>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</si>
  <si>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</si>
  <si>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</si>
  <si>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</si>
  <si>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</si>
  <si>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</si>
  <si>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</si>
  <si>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</si>
  <si>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</si>
  <si>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</si>
  <si>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</si>
  <si>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</si>
  <si>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</si>
  <si>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</si>
  <si>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</si>
  <si>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</si>
  <si>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</si>
  <si>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</si>
  <si>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</si>
  <si>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</si>
  <si>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</si>
  <si>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</si>
  <si>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</si>
  <si>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</si>
  <si>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</si>
  <si>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</si>
  <si>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</si>
  <si>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</si>
  <si>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</si>
  <si>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</si>
  <si>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</si>
  <si>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</si>
  <si>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</si>
  <si>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</si>
  <si>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</si>
  <si>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</si>
  <si>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</si>
  <si>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</si>
  <si>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</si>
  <si>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</si>
  <si>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</si>
  <si>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</si>
  <si>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</si>
  <si>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</si>
  <si>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</si>
  <si>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</si>
  <si>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</si>
  <si>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</si>
  <si>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</si>
  <si>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</si>
  <si>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</si>
  <si>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</si>
  <si>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</si>
  <si>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</si>
  <si>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</si>
  <si>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</si>
  <si>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</si>
  <si>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</si>
  <si>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</si>
  <si>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</si>
  <si>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</si>
  <si>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</si>
  <si>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</si>
  <si>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</si>
  <si>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</si>
  <si>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</si>
  <si>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</si>
  <si>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</si>
  <si>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</si>
  <si>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</si>
  <si>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</si>
  <si>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</si>
  <si>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</si>
  <si>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</si>
  <si>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</si>
  <si>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</si>
  <si>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</si>
  <si>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</si>
  <si>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</si>
  <si>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</si>
  <si>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</si>
  <si>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</si>
  <si>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</si>
  <si>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</si>
  <si>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</si>
  <si>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</si>
  <si>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</si>
  <si>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</si>
  <si>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</si>
  <si>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</si>
  <si>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</si>
  <si>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</si>
  <si>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</si>
  <si>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</si>
  <si>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</si>
  <si>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</si>
  <si>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</si>
  <si>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</si>
  <si>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</si>
  <si>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</si>
  <si>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</si>
  <si>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</si>
  <si>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</si>
  <si>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</si>
  <si>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</si>
  <si>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</si>
  <si>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</si>
  <si>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</si>
  <si>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</si>
  <si>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</si>
  <si>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</si>
  <si>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</si>
  <si>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</si>
  <si>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</si>
  <si>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</si>
  <si>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</si>
  <si>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</si>
  <si>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</si>
  <si>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</si>
  <si>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</si>
  <si>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</si>
  <si>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</si>
  <si>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</si>
  <si>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</si>
  <si>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</si>
  <si>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</si>
  <si>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</si>
  <si>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</si>
  <si>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</si>
  <si>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</si>
  <si>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</si>
  <si>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</si>
  <si>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</si>
  <si>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</si>
  <si>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</si>
  <si>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</si>
  <si>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</si>
  <si>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</si>
  <si>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</si>
  <si>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</si>
  <si>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</si>
  <si>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</si>
  <si>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</si>
  <si>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</si>
  <si>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</si>
  <si>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</si>
  <si>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</si>
  <si>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</si>
  <si>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</si>
  <si>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</si>
  <si>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</si>
  <si>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</si>
  <si>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</si>
  <si>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</si>
  <si>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</si>
  <si>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</si>
  <si>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</si>
  <si>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</si>
  <si>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</si>
  <si>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</si>
  <si>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</si>
  <si>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</si>
  <si>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</si>
  <si>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</si>
  <si>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</si>
  <si>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</si>
  <si>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</si>
  <si>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</si>
  <si>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</si>
  <si>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</si>
  <si>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</si>
  <si>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</si>
  <si>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</si>
  <si>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</si>
  <si>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</si>
  <si>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</si>
  <si>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</si>
  <si>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</si>
  <si>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</si>
  <si>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</si>
  <si>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</si>
  <si>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</si>
  <si>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</si>
  <si>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</si>
  <si>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</si>
  <si>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</si>
  <si>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</si>
  <si>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</si>
  <si>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</si>
  <si>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</si>
  <si>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</si>
  <si>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</si>
  <si>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</si>
  <si>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</si>
  <si>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</si>
  <si>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</si>
  <si>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</si>
  <si>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</si>
  <si>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</si>
  <si>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</si>
  <si>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</si>
  <si>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</si>
  <si>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</si>
  <si>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</si>
  <si>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</si>
  <si>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</si>
  <si>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</si>
  <si>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</si>
  <si>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</si>
  <si>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</si>
  <si>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</si>
  <si>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</si>
  <si>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</si>
  <si>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</si>
  <si>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</si>
  <si>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</si>
  <si>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</si>
  <si>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</si>
  <si>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</si>
  <si>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</si>
  <si>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</si>
  <si>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</si>
  <si>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</si>
  <si>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</si>
  <si>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</si>
  <si>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</si>
  <si>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</si>
  <si>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</si>
  <si>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</si>
  <si>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</si>
  <si>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</si>
  <si>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</si>
  <si>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</si>
  <si>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</si>
  <si>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</si>
  <si>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</si>
  <si>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</si>
  <si>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</si>
  <si>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</si>
  <si>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</si>
  <si>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</si>
  <si>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</si>
  <si>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</si>
  <si>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</si>
  <si>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</si>
  <si>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</si>
  <si>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</si>
  <si>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</si>
  <si>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</si>
  <si>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</si>
  <si>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</si>
  <si>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</si>
  <si>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</si>
  <si>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</si>
  <si>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</si>
  <si>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</si>
  <si>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</si>
  <si>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</si>
  <si>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</si>
  <si>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</si>
  <si>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</si>
  <si>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</si>
  <si>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</si>
  <si>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</si>
  <si>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</si>
  <si>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</si>
  <si>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</si>
  <si>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</si>
  <si>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</si>
  <si>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</si>
  <si>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</si>
  <si>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</si>
  <si>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</si>
  <si>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</si>
  <si>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</si>
  <si>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</si>
  <si>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</si>
  <si>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</si>
  <si>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</si>
  <si>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</si>
  <si>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</si>
  <si>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</si>
  <si>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</si>
  <si>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</si>
  <si>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</si>
  <si>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</si>
  <si>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</si>
  <si>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</si>
  <si>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</si>
  <si>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</si>
  <si>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</si>
  <si>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</si>
  <si>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</si>
  <si>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</si>
  <si>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</si>
  <si>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</si>
  <si>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</si>
  <si>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</si>
  <si>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</si>
  <si>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</si>
  <si>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</si>
  <si>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</si>
  <si>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</si>
  <si>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</si>
  <si>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</si>
  <si>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</si>
  <si>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</si>
  <si>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</si>
  <si>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</si>
  <si>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</si>
  <si>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</si>
  <si>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</si>
  <si>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</si>
  <si>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</si>
  <si>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</si>
  <si>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</si>
  <si>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</si>
  <si>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</si>
  <si>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</si>
  <si>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</si>
  <si>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</si>
  <si>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</si>
  <si>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</si>
  <si>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</si>
  <si>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</si>
  <si>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</si>
  <si>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</si>
  <si>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</si>
  <si>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</si>
  <si>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</si>
  <si>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</si>
  <si>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</si>
  <si>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</si>
  <si>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</si>
  <si>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</si>
  <si>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</si>
  <si>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</si>
  <si>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</si>
  <si>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</si>
  <si>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</si>
  <si>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</si>
  <si>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</si>
  <si>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</si>
  <si>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</si>
  <si>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</si>
  <si>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</si>
  <si>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</si>
  <si>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</si>
  <si>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</si>
  <si>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</si>
  <si>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</si>
  <si>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</si>
  <si>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</si>
  <si>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</si>
  <si>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</si>
  <si>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</si>
  <si>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</si>
  <si>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</si>
  <si>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</si>
  <si>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</si>
  <si>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</si>
  <si>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</si>
  <si>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</si>
  <si>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</si>
  <si>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</si>
  <si>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</si>
  <si>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</si>
  <si>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</si>
  <si>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</si>
  <si>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</si>
  <si>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</si>
  <si>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</si>
  <si>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</si>
  <si>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</si>
  <si>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</si>
  <si>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</si>
  <si>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</si>
  <si>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</si>
  <si>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</si>
  <si>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</si>
  <si>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</si>
  <si>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</si>
  <si>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</si>
  <si>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</si>
  <si>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</si>
  <si>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</si>
  <si>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</si>
  <si>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</si>
  <si>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</si>
  <si>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</si>
  <si>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</si>
  <si>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</si>
  <si>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</si>
  <si>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</si>
  <si>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</si>
  <si>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</si>
  <si>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</si>
  <si>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</si>
  <si>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</si>
  <si>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</si>
  <si>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</si>
  <si>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</si>
  <si>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</si>
  <si>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</si>
  <si>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</si>
  <si>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</si>
  <si>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</si>
  <si>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</si>
  <si>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</si>
  <si>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</si>
  <si>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</si>
  <si>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</si>
  <si>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</si>
  <si>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</si>
  <si>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</si>
  <si>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</si>
  <si>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</si>
  <si>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</si>
  <si>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</si>
  <si>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</si>
  <si>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</si>
  <si>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</si>
  <si>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</si>
  <si>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</si>
  <si>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</si>
  <si>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</si>
  <si>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</si>
  <si>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</si>
  <si>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</si>
  <si>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</si>
  <si>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</si>
  <si>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</si>
  <si>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</si>
  <si>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</si>
  <si>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</si>
  <si>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</si>
  <si>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</si>
  <si>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</si>
  <si>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</si>
  <si>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</si>
  <si>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</si>
  <si>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</si>
  <si>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</si>
  <si>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</si>
  <si>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</si>
  <si>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</si>
  <si>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</si>
  <si>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</si>
  <si>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</si>
  <si>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</si>
  <si>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</si>
  <si>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</si>
  <si>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</si>
  <si>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</si>
  <si>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</si>
  <si>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</si>
  <si>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</si>
  <si>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</si>
  <si>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</si>
  <si>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</si>
  <si>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</si>
  <si>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</si>
  <si>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</si>
  <si>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</si>
  <si>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</si>
  <si>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</si>
  <si>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</si>
  <si>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</si>
  <si>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</si>
  <si>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</si>
  <si>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</si>
  <si>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</si>
  <si>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</si>
  <si>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</si>
  <si>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</si>
  <si>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</si>
  <si>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</si>
  <si>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</si>
  <si>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</si>
  <si>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</si>
  <si>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</si>
  <si>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</si>
  <si>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</si>
  <si>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</si>
  <si>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</si>
  <si>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</si>
  <si>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</si>
  <si>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</si>
  <si>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</si>
  <si>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</si>
  <si>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</si>
  <si>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</si>
  <si>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</si>
  <si>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</si>
  <si>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</si>
  <si>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</si>
  <si>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</si>
  <si>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</si>
  <si>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</si>
  <si>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</si>
  <si>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</si>
  <si>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</si>
  <si>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</si>
  <si>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</si>
  <si>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</si>
  <si>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</si>
  <si>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</si>
  <si>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</si>
  <si>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</si>
  <si>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</si>
  <si>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</si>
  <si>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</si>
  <si>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</si>
  <si>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</si>
  <si>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</si>
  <si>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</si>
  <si>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</si>
  <si>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</si>
  <si>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</si>
  <si>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</si>
  <si>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</si>
  <si>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</si>
  <si>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</si>
  <si>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</si>
  <si>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</si>
  <si>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</si>
  <si>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</si>
  <si>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</si>
  <si>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</si>
  <si>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</si>
  <si>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</si>
  <si>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</si>
  <si>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</si>
  <si>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</si>
  <si>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</si>
  <si>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</si>
  <si>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</si>
  <si>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</si>
  <si>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</si>
  <si>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</si>
  <si>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</si>
  <si>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</si>
  <si>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</si>
  <si>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</si>
  <si>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</si>
  <si>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</si>
  <si>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</si>
  <si>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</si>
  <si>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</si>
  <si>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</si>
  <si>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</si>
  <si>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</si>
  <si>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</si>
  <si>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</si>
  <si>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</si>
  <si>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</si>
  <si>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</si>
  <si>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</si>
  <si>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</si>
  <si>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</si>
  <si>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</si>
  <si>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</si>
  <si>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</si>
  <si>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</si>
  <si>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</si>
  <si>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</si>
  <si>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</si>
  <si>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</si>
  <si>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</si>
  <si>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</si>
  <si>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</si>
  <si>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</si>
  <si>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</si>
  <si>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</si>
  <si>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</si>
  <si>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</si>
  <si>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</si>
  <si>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</si>
  <si>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</si>
  <si>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</si>
  <si>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</si>
  <si>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</si>
  <si>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</si>
  <si>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</si>
  <si>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</si>
  <si>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</si>
  <si>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</si>
  <si>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</si>
  <si>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</si>
  <si>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</si>
  <si>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</si>
  <si>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</si>
  <si>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</si>
  <si>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</si>
  <si>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</si>
  <si>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</si>
  <si>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</si>
  <si>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</si>
  <si>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</si>
  <si>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</si>
  <si>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</si>
  <si>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</si>
  <si>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</si>
  <si>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</si>
  <si>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</si>
  <si>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</si>
  <si>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</si>
  <si>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</si>
  <si>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</si>
  <si>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</si>
  <si>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</si>
  <si>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</si>
  <si>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</si>
  <si>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</si>
  <si>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</si>
  <si>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</si>
  <si>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</si>
  <si>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</si>
  <si>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</si>
  <si>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</si>
  <si>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</si>
  <si>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</si>
  <si>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</si>
  <si>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</si>
  <si>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</si>
  <si>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</si>
  <si>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</si>
  <si>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</si>
  <si>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</si>
  <si>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</si>
  <si>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</si>
  <si>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</si>
  <si>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</si>
  <si>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</si>
  <si>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</si>
  <si>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</si>
  <si>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</si>
  <si>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</si>
  <si>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</si>
  <si>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</si>
  <si>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</si>
  <si>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</si>
  <si>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</si>
  <si>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</si>
  <si>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</si>
  <si>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</si>
  <si>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</si>
  <si>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</si>
  <si>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</si>
  <si>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</si>
  <si>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</si>
  <si>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</si>
  <si>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</si>
  <si>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</si>
  <si>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</si>
  <si>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</si>
  <si>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</si>
  <si>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</si>
  <si>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</si>
  <si>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</si>
  <si>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</si>
  <si>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</si>
  <si>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</si>
  <si>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</si>
  <si>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</si>
  <si>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</si>
  <si>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</si>
  <si>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</si>
  <si>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</si>
  <si>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</si>
  <si>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</si>
  <si>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</si>
  <si>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</si>
  <si>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</si>
  <si>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</si>
  <si>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</si>
  <si>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</si>
  <si>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</si>
  <si>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</si>
  <si>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</si>
  <si>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</si>
  <si>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</si>
  <si>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</si>
  <si>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</si>
  <si>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</si>
  <si>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</si>
  <si>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</si>
  <si>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</si>
  <si>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</si>
  <si>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</si>
  <si>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</si>
  <si>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</si>
  <si>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</si>
  <si>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</si>
  <si>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</si>
  <si>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</si>
  <si>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</si>
  <si>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</si>
  <si>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</si>
  <si>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</si>
  <si>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</si>
  <si>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</si>
  <si>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</si>
  <si>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</si>
  <si>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</si>
  <si>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</si>
  <si>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</si>
  <si>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</si>
  <si>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</si>
  <si>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</si>
  <si>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</si>
  <si>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</si>
  <si>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</si>
  <si>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</si>
  <si>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</si>
  <si>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</si>
  <si>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</si>
  <si>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</si>
  <si>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</si>
  <si>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</si>
  <si>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</si>
  <si>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</si>
  <si>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</si>
  <si>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</si>
  <si>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</si>
  <si>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</si>
  <si>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</si>
  <si>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</si>
  <si>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</si>
  <si>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</si>
  <si>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</si>
  <si>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</si>
  <si>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</si>
  <si>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</si>
  <si>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</si>
  <si>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</si>
  <si>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</si>
  <si>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</si>
  <si>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</si>
  <si>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</si>
  <si>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</si>
  <si>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</si>
  <si>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</si>
  <si>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</si>
  <si>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</si>
  <si>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</si>
  <si>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</si>
  <si>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</si>
  <si>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</si>
  <si>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</si>
  <si>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</si>
  <si>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</si>
  <si>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</si>
  <si>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</si>
  <si>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</si>
  <si>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</si>
  <si>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</si>
  <si>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</si>
  <si>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</si>
  <si>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</si>
  <si>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</si>
  <si>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</si>
  <si>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</si>
  <si>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</si>
  <si>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</si>
  <si>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</si>
  <si>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</si>
  <si>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</si>
  <si>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</si>
  <si>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</si>
  <si>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</si>
  <si>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</si>
  <si>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</si>
  <si>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</si>
  <si>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</si>
  <si>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</si>
  <si>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</si>
  <si>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</si>
  <si>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</si>
  <si>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</si>
  <si>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</si>
  <si>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</si>
  <si>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</si>
  <si>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</si>
  <si>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</si>
  <si>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</si>
  <si>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</si>
  <si>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</si>
  <si>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</si>
  <si>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</si>
  <si>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</si>
  <si>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</si>
  <si>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</si>
  <si>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</si>
  <si>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</si>
  <si>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</si>
  <si>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</si>
  <si>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</si>
  <si>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</si>
  <si>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</si>
  <si>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</si>
  <si>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</si>
  <si>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</si>
  <si>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</si>
  <si>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</si>
  <si>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</si>
  <si>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</si>
  <si>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</si>
  <si>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</si>
  <si>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</si>
  <si>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</si>
  <si>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</si>
  <si>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</si>
  <si>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</si>
  <si>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</si>
  <si>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</si>
  <si>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</si>
  <si>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</si>
  <si>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</si>
  <si>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</si>
  <si>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</si>
  <si>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</si>
  <si>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</si>
  <si>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</si>
  <si>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</si>
  <si>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</si>
  <si>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</si>
  <si>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</si>
  <si>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</si>
  <si>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</si>
  <si>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</si>
  <si>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</si>
  <si>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</si>
  <si>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</si>
  <si>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</si>
  <si>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</si>
  <si>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</si>
  <si>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</si>
  <si>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</si>
  <si>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</si>
  <si>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</si>
  <si>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</si>
  <si>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</si>
  <si>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</si>
  <si>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</si>
  <si>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</si>
  <si>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</si>
  <si>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</si>
  <si>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</si>
  <si>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</si>
  <si>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</si>
  <si>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</si>
  <si>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</si>
  <si>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</si>
  <si>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</si>
  <si>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</si>
  <si>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</si>
  <si>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</si>
  <si>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</si>
  <si>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</si>
  <si>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</si>
  <si>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</si>
  <si>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</si>
  <si>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</si>
  <si>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</si>
  <si>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</si>
  <si>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</si>
  <si>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</si>
  <si>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</si>
  <si>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</si>
  <si>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</si>
  <si>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</si>
  <si>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</si>
  <si>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</si>
  <si>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</si>
  <si>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</si>
  <si>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</si>
  <si>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</si>
  <si>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</si>
  <si>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</si>
  <si>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</si>
  <si>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</si>
  <si>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</si>
  <si>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</si>
  <si>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</si>
  <si>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</si>
  <si>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</si>
  <si>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</si>
  <si>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</si>
  <si>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</si>
  <si>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</si>
  <si>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</si>
  <si>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</si>
  <si>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</si>
  <si>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</si>
  <si>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</si>
  <si>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</si>
  <si>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</si>
  <si>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</si>
  <si>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</si>
  <si>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</si>
  <si>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</si>
  <si>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</si>
  <si>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</si>
  <si>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</si>
  <si>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</si>
  <si>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</si>
  <si>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</si>
  <si>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</si>
  <si>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</si>
  <si>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</si>
  <si>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</si>
  <si>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</si>
  <si>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</si>
  <si>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</si>
  <si>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</si>
  <si>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</si>
  <si>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</si>
  <si>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</si>
  <si>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</si>
  <si>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</si>
  <si>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</si>
  <si>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</si>
  <si>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</si>
  <si>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</si>
  <si>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</si>
  <si>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</si>
  <si>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</si>
  <si>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</si>
  <si>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</si>
  <si>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</si>
  <si>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</si>
  <si>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</si>
  <si>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</si>
  <si>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</si>
  <si>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</si>
  <si>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</si>
  <si>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</si>
  <si>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</si>
  <si>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</si>
  <si>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</si>
  <si>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</si>
  <si>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</si>
  <si>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</si>
  <si>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</si>
  <si>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</si>
  <si>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</si>
  <si>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</si>
  <si>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</si>
  <si>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</si>
  <si>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</si>
  <si>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</si>
  <si>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</si>
  <si>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</si>
  <si>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</si>
  <si>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</si>
  <si>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</si>
  <si>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</si>
  <si>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</si>
  <si>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</si>
  <si>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</si>
  <si>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</si>
  <si>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</si>
  <si>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</si>
  <si>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</si>
  <si>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</si>
  <si>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</si>
  <si>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</si>
  <si>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</si>
  <si>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</si>
  <si>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</si>
  <si>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</si>
  <si>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</si>
  <si>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</si>
  <si>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</si>
  <si>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</si>
  <si>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</si>
  <si>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</si>
  <si>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</si>
  <si>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</si>
  <si>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</si>
  <si>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</si>
  <si>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</si>
  <si>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</si>
  <si>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</si>
  <si>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</si>
  <si>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</si>
  <si>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</si>
  <si>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</si>
  <si>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</si>
  <si>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</si>
  <si>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</si>
  <si>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</si>
  <si>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</si>
  <si>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</si>
  <si>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</si>
  <si>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</si>
  <si>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</si>
  <si>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</si>
  <si>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</si>
  <si>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</si>
  <si>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</si>
  <si>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</si>
  <si>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</si>
  <si>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</si>
  <si>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</si>
  <si>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</si>
  <si>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</si>
  <si>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</si>
  <si>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</si>
  <si>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</si>
  <si>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</si>
  <si>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</si>
  <si>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</si>
  <si>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</si>
  <si>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</si>
  <si>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</si>
  <si>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</si>
  <si>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</si>
  <si>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</si>
  <si>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</si>
  <si>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</si>
  <si>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</si>
  <si>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</si>
  <si>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</si>
  <si>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</si>
  <si>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</si>
  <si>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</si>
  <si>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</si>
  <si>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</si>
  <si>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</si>
  <si>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</si>
  <si>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</si>
  <si>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</si>
  <si>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</si>
  <si>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</si>
  <si>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</si>
  <si>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</si>
  <si>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</si>
  <si>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</si>
  <si>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</si>
  <si>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</si>
  <si>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</si>
  <si>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</si>
  <si>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</si>
  <si>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</si>
  <si>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</si>
  <si>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</si>
  <si>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</si>
  <si>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</si>
  <si>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</si>
  <si>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</si>
  <si>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</si>
  <si>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</si>
  <si>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</si>
  <si>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</si>
  <si>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</si>
  <si>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</si>
  <si>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</si>
  <si>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</si>
  <si>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</si>
  <si>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</si>
  <si>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</si>
  <si>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</si>
  <si>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</si>
  <si>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</si>
  <si>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</si>
  <si>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</si>
  <si>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</si>
  <si>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</si>
  <si>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</si>
  <si>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</si>
  <si>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</si>
  <si>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</si>
  <si>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</si>
  <si>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</si>
  <si>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</si>
  <si>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</si>
  <si>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</si>
  <si>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</si>
  <si>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</si>
  <si>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</si>
  <si>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</si>
  <si>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</si>
  <si>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</si>
  <si>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</si>
  <si>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</si>
  <si>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</si>
  <si>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</si>
  <si>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</si>
  <si>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</si>
  <si>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</si>
  <si>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</si>
  <si>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</si>
  <si>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</si>
  <si>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</si>
  <si>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</si>
  <si>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</si>
  <si>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</si>
  <si>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</si>
  <si>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</si>
  <si>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</si>
  <si>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</si>
  <si>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</si>
  <si>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</si>
  <si>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</si>
  <si>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</si>
  <si>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</si>
  <si>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</si>
  <si>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</si>
  <si>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</si>
  <si>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</si>
  <si>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</si>
  <si>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</si>
  <si>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</si>
  <si>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</si>
  <si>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</si>
  <si>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</si>
  <si>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</si>
  <si>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</si>
  <si>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</si>
  <si>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</si>
  <si>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</si>
  <si>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</si>
  <si>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</si>
  <si>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</si>
  <si>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</si>
  <si>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</si>
  <si>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</si>
  <si>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</si>
  <si>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</si>
  <si>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</si>
  <si>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</si>
  <si>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</si>
  <si>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</si>
  <si>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</si>
  <si>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</si>
  <si>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</si>
  <si>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</si>
  <si>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</si>
  <si>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</si>
  <si>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</si>
  <si>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</si>
  <si>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</si>
  <si>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</si>
  <si>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</si>
  <si>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</si>
  <si>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</si>
  <si>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</si>
  <si>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</si>
  <si>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</si>
  <si>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</si>
  <si>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</si>
  <si>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</si>
  <si>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</si>
  <si>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</si>
  <si>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</si>
  <si>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</si>
  <si>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</si>
  <si>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</si>
  <si>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</si>
  <si>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</si>
  <si>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</si>
  <si>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</si>
  <si>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</si>
  <si>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</si>
  <si>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</si>
  <si>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</si>
  <si>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</si>
  <si>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</si>
  <si>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</si>
  <si>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</si>
  <si>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</si>
  <si>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</si>
  <si>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</si>
  <si>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</si>
  <si>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</si>
  <si>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</si>
  <si>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</si>
  <si>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</si>
  <si>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</si>
  <si>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</si>
  <si>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</si>
  <si>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</si>
  <si>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</si>
  <si>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</si>
  <si>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</si>
  <si>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</si>
  <si>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</si>
  <si>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</si>
  <si>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</si>
  <si>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</si>
  <si>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</si>
  <si>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</si>
  <si>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</si>
  <si>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</si>
  <si>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</si>
  <si>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</si>
  <si>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</si>
  <si>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</si>
  <si>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</si>
  <si>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</si>
  <si>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</si>
  <si>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</si>
  <si>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</si>
  <si>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</si>
  <si>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</si>
  <si>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</si>
  <si>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</si>
  <si>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</si>
  <si>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</si>
  <si>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</si>
  <si>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</si>
  <si>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</si>
  <si>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</si>
  <si>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</si>
  <si>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</si>
  <si>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</si>
  <si>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</si>
  <si>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</si>
  <si>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</si>
  <si>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</si>
  <si>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</si>
  <si>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</si>
  <si>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</si>
  <si>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</si>
  <si>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</si>
  <si>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</si>
  <si>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</si>
  <si>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</si>
  <si>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</si>
  <si>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</si>
  <si>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</si>
  <si>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</si>
  <si>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</si>
  <si>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</si>
  <si>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</si>
  <si>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</si>
  <si>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</si>
  <si>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</si>
  <si>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</si>
  <si>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</si>
  <si>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</si>
  <si>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</si>
  <si>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</si>
  <si>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</si>
  <si>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</si>
  <si>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</si>
  <si>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</si>
  <si>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</si>
  <si>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</si>
  <si>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</si>
  <si>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</si>
  <si>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</si>
  <si>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</si>
  <si>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</si>
  <si>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</si>
  <si>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</si>
  <si>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</si>
  <si>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</si>
  <si>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</si>
  <si>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</si>
  <si>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</si>
  <si>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</si>
  <si>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</si>
  <si>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</si>
  <si>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</si>
  <si>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</si>
  <si>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</si>
  <si>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</si>
  <si>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</si>
  <si>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</si>
  <si>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</si>
  <si>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</si>
  <si>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</si>
  <si>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</si>
  <si>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</si>
  <si>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</si>
  <si>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</si>
  <si>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</si>
  <si>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</si>
  <si>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</si>
  <si>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</si>
  <si>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</si>
  <si>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</si>
  <si>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</si>
  <si>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</si>
  <si>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</si>
  <si>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</si>
  <si>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</si>
  <si>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</si>
  <si>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</si>
  <si>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</si>
  <si>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</si>
  <si>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</si>
  <si>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</si>
  <si>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</si>
  <si>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</si>
  <si>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</si>
  <si>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</si>
  <si>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</si>
  <si>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</si>
  <si>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</si>
  <si>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</si>
  <si>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</si>
  <si>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</si>
  <si>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</si>
  <si>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</si>
  <si>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</si>
  <si>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</si>
  <si>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</si>
  <si>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</si>
  <si>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</si>
  <si>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</si>
  <si>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</si>
  <si>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</si>
  <si>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</si>
  <si>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</si>
  <si>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</si>
  <si>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</si>
  <si>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</si>
  <si>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</si>
  <si>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</si>
  <si>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</si>
  <si>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</si>
  <si>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</si>
  <si>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</si>
  <si>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</si>
  <si>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</si>
  <si>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</si>
  <si>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</si>
  <si>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</si>
  <si>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</si>
  <si>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</si>
  <si>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</si>
  <si>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</si>
  <si>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</si>
  <si>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</si>
  <si>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</si>
  <si>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</si>
  <si>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</si>
  <si>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</si>
  <si>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</si>
  <si>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</si>
  <si>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</si>
  <si>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</si>
  <si>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</si>
  <si>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</si>
  <si>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</si>
  <si>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</si>
  <si>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</si>
  <si>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</si>
  <si>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</si>
  <si>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</si>
  <si>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</si>
  <si>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</si>
  <si>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</si>
  <si>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</si>
  <si>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</si>
  <si>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</si>
  <si>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</si>
  <si>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</si>
  <si>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</si>
  <si>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</si>
  <si>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</si>
  <si>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</si>
  <si>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</si>
  <si>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</si>
  <si>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</si>
  <si>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</si>
  <si>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</si>
  <si>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</si>
  <si>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</si>
  <si>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</si>
  <si>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</si>
  <si>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</si>
  <si>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</si>
  <si>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</si>
  <si>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</si>
  <si>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</si>
  <si>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</si>
  <si>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</si>
  <si>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</si>
  <si>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</si>
  <si>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</si>
  <si>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</si>
  <si>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</si>
  <si>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</si>
  <si>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</si>
  <si>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</si>
  <si>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</si>
  <si>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</si>
  <si>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</si>
  <si>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</si>
  <si>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</si>
  <si>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</si>
  <si>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</si>
  <si>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</si>
  <si>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</si>
  <si>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</si>
  <si>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</si>
  <si>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</si>
  <si>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</si>
  <si>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</si>
  <si>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</si>
  <si>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</si>
  <si>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</si>
  <si>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</si>
  <si>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</si>
  <si>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</si>
  <si>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</si>
  <si>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</si>
  <si>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</si>
  <si>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</si>
  <si>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</si>
  <si>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</si>
  <si>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</si>
  <si>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</si>
  <si>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</si>
  <si>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</si>
  <si>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</si>
  <si>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</si>
  <si>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</si>
  <si>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</si>
  <si>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</si>
  <si>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</si>
  <si>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</si>
  <si>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</si>
  <si>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</si>
  <si>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</si>
  <si>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</si>
  <si>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</si>
  <si>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</si>
  <si>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</si>
  <si>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</si>
  <si>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</si>
  <si>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</si>
  <si>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</si>
  <si>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</si>
  <si>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</si>
  <si>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</si>
  <si>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</si>
  <si>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</si>
  <si>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</si>
  <si>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</si>
  <si>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</si>
  <si>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</si>
  <si>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</si>
  <si>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</si>
  <si>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</si>
  <si>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</si>
  <si>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</si>
  <si>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</si>
  <si>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</si>
  <si>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</si>
  <si>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</si>
  <si>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</si>
  <si>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</si>
  <si>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</si>
  <si>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</si>
  <si>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</si>
  <si>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</si>
  <si>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</si>
  <si>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</si>
  <si>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</si>
  <si>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</si>
  <si>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</si>
  <si>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</si>
  <si>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</si>
  <si>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</si>
  <si>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</si>
  <si>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</si>
  <si>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</si>
  <si>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</si>
  <si>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</si>
  <si>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</si>
  <si>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</si>
  <si>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</si>
  <si>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</si>
  <si>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</si>
  <si>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</si>
  <si>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</si>
  <si>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</si>
  <si>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</si>
  <si>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</si>
  <si>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</si>
  <si>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</si>
  <si>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</si>
  <si>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</si>
  <si>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</si>
  <si>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</si>
  <si>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</si>
  <si>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</si>
  <si>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</si>
  <si>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</si>
  <si>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</si>
  <si>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</si>
  <si>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</si>
  <si>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</si>
  <si>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</si>
  <si>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</si>
  <si>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</si>
  <si>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</si>
  <si>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</si>
  <si>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</si>
  <si>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</si>
  <si>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</si>
  <si>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</si>
  <si>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</si>
  <si>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</si>
  <si>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</si>
  <si>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</si>
  <si>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</si>
  <si>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</si>
  <si>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</si>
  <si>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</si>
  <si>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</si>
  <si>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</si>
  <si>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</si>
  <si>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</si>
  <si>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</si>
  <si>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</si>
  <si>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</si>
  <si>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</si>
  <si>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</si>
  <si>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</si>
  <si>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</si>
  <si>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</si>
  <si>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</si>
  <si>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</si>
  <si>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</si>
  <si>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</si>
  <si>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</si>
  <si>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</si>
  <si>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</si>
  <si>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</si>
  <si>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</si>
  <si>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</si>
  <si>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</si>
  <si>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</si>
  <si>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</si>
  <si>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</si>
  <si>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</si>
  <si>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</si>
  <si>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</si>
  <si>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</si>
  <si>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</si>
  <si>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</si>
  <si>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</si>
  <si>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</si>
  <si>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</si>
  <si>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</si>
  <si>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</si>
  <si>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</si>
  <si>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</si>
  <si>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</si>
  <si>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</si>
  <si>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</si>
  <si>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</si>
  <si>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</si>
  <si>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</si>
  <si>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</si>
  <si>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</si>
  <si>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</si>
  <si>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</si>
  <si>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</si>
  <si>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</si>
  <si>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</si>
  <si>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</si>
  <si>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</si>
  <si>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</si>
  <si>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</si>
  <si>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</si>
  <si>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</si>
  <si>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</si>
  <si>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</si>
  <si>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</si>
  <si>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</si>
  <si>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</si>
  <si>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</si>
  <si>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</si>
  <si>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</si>
  <si>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</si>
  <si>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</si>
  <si>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</si>
  <si>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</si>
  <si>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</si>
  <si>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</si>
  <si>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</si>
  <si>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</si>
  <si>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</si>
  <si>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</si>
  <si>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</si>
  <si>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</si>
  <si>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</si>
  <si>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</si>
  <si>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</si>
  <si>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</si>
  <si>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</si>
  <si>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</si>
  <si>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</si>
  <si>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</si>
  <si>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</si>
  <si>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</si>
  <si>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</si>
  <si>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</si>
  <si>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</si>
  <si>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</si>
  <si>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</si>
  <si>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</si>
  <si>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</si>
  <si>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</si>
  <si>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</si>
  <si>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</si>
  <si>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</si>
  <si>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</si>
  <si>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</si>
  <si>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</si>
  <si>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</si>
  <si>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</si>
  <si>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</si>
  <si>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</si>
  <si>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</si>
  <si>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</si>
  <si>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</si>
  <si>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</si>
  <si>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</si>
  <si>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</si>
  <si>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</si>
  <si>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</si>
  <si>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</si>
  <si>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</si>
  <si>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</si>
  <si>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</si>
  <si>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</si>
  <si>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</si>
  <si>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</si>
  <si>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</si>
  <si>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</si>
  <si>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</si>
  <si>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</si>
  <si>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</si>
  <si>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</si>
  <si>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</si>
  <si>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</si>
  <si>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</si>
  <si>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</si>
  <si>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</si>
  <si>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</si>
  <si>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</si>
  <si>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</si>
  <si>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</si>
  <si>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</si>
  <si>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</si>
  <si>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</si>
  <si>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</si>
  <si>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</si>
  <si>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</si>
  <si>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</si>
  <si>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</si>
  <si>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</si>
  <si>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</si>
  <si>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</si>
  <si>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</si>
  <si>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</si>
  <si>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</si>
  <si>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</si>
  <si>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</si>
  <si>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</si>
  <si>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</si>
  <si>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</si>
  <si>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</si>
  <si>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</si>
  <si>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</si>
  <si>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</si>
  <si>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</si>
  <si>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</si>
  <si>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</si>
  <si>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</si>
  <si>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</si>
  <si>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</si>
  <si>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</si>
  <si>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</si>
  <si>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</si>
  <si>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</si>
  <si>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</si>
  <si>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</si>
  <si>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</si>
  <si>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</si>
  <si>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</si>
  <si>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</si>
  <si>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</si>
  <si>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</si>
  <si>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</si>
  <si>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</si>
  <si>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</si>
  <si>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</si>
  <si>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</si>
  <si>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</si>
  <si>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</si>
  <si>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</si>
  <si>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</si>
  <si>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</si>
  <si>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</si>
  <si>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</si>
  <si>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</si>
  <si>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</si>
  <si>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</si>
  <si>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</si>
  <si>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</si>
  <si>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</si>
  <si>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</si>
  <si>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</si>
  <si>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</si>
  <si>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</si>
  <si>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</si>
  <si>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</si>
  <si>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</si>
  <si>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</si>
  <si>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</si>
  <si>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</si>
  <si>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</si>
  <si>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</si>
  <si>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</si>
  <si>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</si>
  <si>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</si>
  <si>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</si>
  <si>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</si>
  <si>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</si>
  <si>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</si>
  <si>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</si>
  <si>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</si>
  <si>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</si>
  <si>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</si>
  <si>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</si>
  <si>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</si>
  <si>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</si>
  <si>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</si>
  <si>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</si>
  <si>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</si>
  <si>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</si>
  <si>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</si>
  <si>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</si>
  <si>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</si>
  <si>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</si>
  <si>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</si>
  <si>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</si>
  <si>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</si>
  <si>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</si>
  <si>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</si>
  <si>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</si>
  <si>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</si>
  <si>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</si>
  <si>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</si>
  <si>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</si>
  <si>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</si>
  <si>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</si>
  <si>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</si>
  <si>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</si>
  <si>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</si>
  <si>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</si>
  <si>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</si>
  <si>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</si>
  <si>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</si>
  <si>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</si>
  <si>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</si>
  <si>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</si>
  <si>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</si>
  <si>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</si>
  <si>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</si>
  <si>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</si>
  <si>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</si>
  <si>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</si>
  <si>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</si>
  <si>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</si>
  <si>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</si>
  <si>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</si>
  <si>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</si>
  <si>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</si>
  <si>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</si>
  <si>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</si>
  <si>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</si>
  <si>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</si>
  <si>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</si>
  <si>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</si>
  <si>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</si>
  <si>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</si>
  <si>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</si>
  <si>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</si>
  <si>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</si>
  <si>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</si>
  <si>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</si>
  <si>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</si>
  <si>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</si>
  <si>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</si>
  <si>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</si>
  <si>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</si>
  <si>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</si>
  <si>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</si>
  <si>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</si>
  <si>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</si>
  <si>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</si>
  <si>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</si>
  <si>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</si>
  <si>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</si>
  <si>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</si>
  <si>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</si>
  <si>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</si>
  <si>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</si>
  <si>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</si>
  <si>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</si>
  <si>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</si>
  <si>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</si>
  <si>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</si>
  <si>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</si>
  <si>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</si>
  <si>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</si>
  <si>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</si>
  <si>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</si>
  <si>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</si>
  <si>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</si>
  <si>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</si>
  <si>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</si>
  <si>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</si>
  <si>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</si>
  <si>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</si>
  <si>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</si>
  <si>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</si>
  <si>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</si>
  <si>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</si>
  <si>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</si>
  <si>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</si>
  <si>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</si>
  <si>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</si>
  <si>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</si>
  <si>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</si>
  <si>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</si>
  <si>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</si>
  <si>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</si>
  <si>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</si>
  <si>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</si>
  <si>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</si>
  <si>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</si>
  <si>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</si>
  <si>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</si>
  <si>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</si>
  <si>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</si>
  <si>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</si>
  <si>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</si>
  <si>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</si>
  <si>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</si>
  <si>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</si>
  <si>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</si>
  <si>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</si>
  <si>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</si>
  <si>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</si>
  <si>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</si>
  <si>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</si>
  <si>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</si>
  <si>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</si>
  <si>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</si>
  <si>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</si>
  <si>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</si>
  <si>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</si>
  <si>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</si>
  <si>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</si>
  <si>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</si>
  <si>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</si>
  <si>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</si>
  <si>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</si>
  <si>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</si>
  <si>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</si>
  <si>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</si>
  <si>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</si>
  <si>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</si>
  <si>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</si>
  <si>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</si>
  <si>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</si>
  <si>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</si>
  <si>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</si>
  <si>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</si>
  <si>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</si>
  <si>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</si>
  <si>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</si>
  <si>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</si>
  <si>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</si>
  <si>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</si>
  <si>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</si>
  <si>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</si>
  <si>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</si>
  <si>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</si>
  <si>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</si>
  <si>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</si>
  <si>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</si>
  <si>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</si>
  <si>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</si>
  <si>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</si>
  <si>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</si>
  <si>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</si>
  <si>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</si>
  <si>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</si>
  <si>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</si>
  <si>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</si>
  <si>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</si>
  <si>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</si>
  <si>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</si>
  <si>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</si>
  <si>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</si>
  <si>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</si>
  <si>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</si>
  <si>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</si>
  <si>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</si>
  <si>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</si>
  <si>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</si>
  <si>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</si>
  <si>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</si>
  <si>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</si>
  <si>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</si>
  <si>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</si>
  <si>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</si>
  <si>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</si>
  <si>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</si>
  <si>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</si>
  <si>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</si>
  <si>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</si>
  <si>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</si>
  <si>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</si>
  <si>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</si>
  <si>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</si>
  <si>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</si>
  <si>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</si>
  <si>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</si>
  <si>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</si>
  <si>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</si>
  <si>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</si>
  <si>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</si>
  <si>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</si>
  <si>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</si>
  <si>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</si>
  <si>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</si>
  <si>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</si>
  <si>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</si>
  <si>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</si>
  <si>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</si>
  <si>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</si>
  <si>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</si>
  <si>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</si>
  <si>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</si>
  <si>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</si>
  <si>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</si>
  <si>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</si>
  <si>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</si>
  <si>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</si>
  <si>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</si>
  <si>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</si>
  <si>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</si>
  <si>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</si>
  <si>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</si>
  <si>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</si>
  <si>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</si>
  <si>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</si>
  <si>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</si>
  <si>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</si>
  <si>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</si>
  <si>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</si>
  <si>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</si>
  <si>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</si>
  <si>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</si>
  <si>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</si>
  <si>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</si>
  <si>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</si>
  <si>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</si>
  <si>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</si>
  <si>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</si>
  <si>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</si>
  <si>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</si>
  <si>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</si>
  <si>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</si>
  <si>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</si>
  <si>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</si>
  <si>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</si>
  <si>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</si>
  <si>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</si>
  <si>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</si>
  <si>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</si>
  <si>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</si>
  <si>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</si>
  <si>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</si>
  <si>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</si>
  <si>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</si>
  <si>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</si>
  <si>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</si>
  <si>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</si>
  <si>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</si>
  <si>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</si>
  <si>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</si>
  <si>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</si>
  <si>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</si>
  <si>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</si>
  <si>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</si>
  <si>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</si>
  <si>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</si>
  <si>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</si>
  <si>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</si>
  <si>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</si>
  <si>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</si>
  <si>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</si>
  <si>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</si>
  <si>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</si>
  <si>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</si>
  <si>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</si>
  <si>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</si>
  <si>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</si>
  <si>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</si>
  <si>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</si>
  <si>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</si>
  <si>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</si>
  <si>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</si>
  <si>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</si>
  <si>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</si>
  <si>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</si>
  <si>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</si>
  <si>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</si>
  <si>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</si>
  <si>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</si>
  <si>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</si>
  <si>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</si>
  <si>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</si>
  <si>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</si>
  <si>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</si>
  <si>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</si>
  <si>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</si>
  <si>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</si>
  <si>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</si>
  <si>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</si>
  <si>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</si>
  <si>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</si>
  <si>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</si>
  <si>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</si>
  <si>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</si>
  <si>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</si>
  <si>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</si>
  <si>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</si>
  <si>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</si>
  <si>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</si>
  <si>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</si>
  <si>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</si>
  <si>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</si>
  <si>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</si>
  <si>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</si>
  <si>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</si>
  <si>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</si>
  <si>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</si>
  <si>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</si>
  <si>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</si>
  <si>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</si>
  <si>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</si>
  <si>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</si>
  <si>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</si>
  <si>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</si>
  <si>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</si>
  <si>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</si>
  <si>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</si>
  <si>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</si>
  <si>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</si>
  <si>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</si>
  <si>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</si>
  <si>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</si>
  <si>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</si>
  <si>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</si>
  <si>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</si>
  <si>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</si>
  <si>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</si>
  <si>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</si>
  <si>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</si>
  <si>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</si>
  <si>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</si>
  <si>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</si>
  <si>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</si>
  <si>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</si>
  <si>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</si>
  <si>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</si>
  <si>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</si>
  <si>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</si>
  <si>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</si>
  <si>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</si>
  <si>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</si>
  <si>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</si>
  <si>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</si>
  <si>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</si>
  <si>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</si>
  <si>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</si>
  <si>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</si>
  <si>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</si>
  <si>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</si>
  <si>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</si>
  <si>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</si>
  <si>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</si>
  <si>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</si>
  <si>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</si>
  <si>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</si>
  <si>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</si>
  <si>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</si>
  <si>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</si>
  <si>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</si>
  <si>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</si>
  <si>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</si>
  <si>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</si>
  <si>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</si>
  <si>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</si>
  <si>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</si>
  <si>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</si>
  <si>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</si>
  <si>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</si>
  <si>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</si>
  <si>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</si>
  <si>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</si>
  <si>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</si>
  <si>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</si>
  <si>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</si>
  <si>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</si>
  <si>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</si>
  <si>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</si>
  <si>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</si>
  <si>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</si>
  <si>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</si>
  <si>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</si>
  <si>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</si>
  <si>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</si>
  <si>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</si>
  <si>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</si>
  <si>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</si>
  <si>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</si>
  <si>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</si>
  <si>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</si>
  <si>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</si>
  <si>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</si>
  <si>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</si>
  <si>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</si>
  <si>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</si>
  <si>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</si>
  <si>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</si>
  <si>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</si>
  <si>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</si>
  <si>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</si>
  <si>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</si>
  <si>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</si>
  <si>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</si>
  <si>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</si>
  <si>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</si>
  <si>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</si>
  <si>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</si>
  <si>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</si>
  <si>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</si>
  <si>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</si>
  <si>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</si>
  <si>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</si>
  <si>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</si>
  <si>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</si>
  <si>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</si>
  <si>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</si>
  <si>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</si>
  <si>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</si>
  <si>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</si>
  <si>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</si>
  <si>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</si>
  <si>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</si>
  <si>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</si>
  <si>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</si>
  <si>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</si>
  <si>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</si>
  <si>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</si>
  <si>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</si>
  <si>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</si>
  <si>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</si>
  <si>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</si>
  <si>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</si>
  <si>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</si>
  <si>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</si>
  <si>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</si>
  <si>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</si>
  <si>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</si>
  <si>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</si>
  <si>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</si>
  <si>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</si>
  <si>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</si>
  <si>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</si>
  <si>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</si>
  <si>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</si>
  <si>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</si>
  <si>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</si>
  <si>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</si>
  <si>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</si>
  <si>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</si>
  <si>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</si>
  <si>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</si>
  <si>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</si>
  <si>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</si>
  <si>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</si>
  <si>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</si>
  <si>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</si>
  <si>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</si>
  <si>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</si>
  <si>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</si>
  <si>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</si>
  <si>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</si>
  <si>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</si>
  <si>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</si>
  <si>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</si>
  <si>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</si>
  <si>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</si>
  <si>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</si>
  <si>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</si>
  <si>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</si>
  <si>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</si>
  <si>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</si>
  <si>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</si>
  <si>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</si>
  <si>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</si>
  <si>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</si>
  <si>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</si>
  <si>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</si>
  <si>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</si>
  <si>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</si>
  <si>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</si>
  <si>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</si>
  <si>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</si>
  <si>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</si>
  <si>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</si>
  <si>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</si>
  <si>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</si>
  <si>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</si>
  <si>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</si>
  <si>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</si>
  <si>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</si>
  <si>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</si>
  <si>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</si>
  <si>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</si>
  <si>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</si>
  <si>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</si>
  <si>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</si>
  <si>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</si>
  <si>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</si>
  <si>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</si>
  <si>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</si>
  <si>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</si>
  <si>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</si>
  <si>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</si>
  <si>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</si>
  <si>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</si>
  <si>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</si>
  <si>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</si>
  <si>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</si>
  <si>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</si>
  <si>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</si>
  <si>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</si>
  <si>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</si>
  <si>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</si>
  <si>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</si>
  <si>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</si>
  <si>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</si>
  <si>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</si>
  <si>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</si>
  <si>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</si>
  <si>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</si>
  <si>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</si>
  <si>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</si>
  <si>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</si>
  <si>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</si>
  <si>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</si>
  <si>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</si>
  <si>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</si>
  <si>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</si>
  <si>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</si>
  <si>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</si>
  <si>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</si>
  <si>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</si>
  <si>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</si>
  <si>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</si>
  <si>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</si>
  <si>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</si>
  <si>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</si>
  <si>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</si>
  <si>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</si>
  <si>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</si>
  <si>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</si>
  <si>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</si>
  <si>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</si>
  <si>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</si>
  <si>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</si>
  <si>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</si>
  <si>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</si>
  <si>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</si>
  <si>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</si>
  <si>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</si>
  <si>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</si>
  <si>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</si>
  <si>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</si>
  <si>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</si>
  <si>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</si>
  <si>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</si>
  <si>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</si>
  <si>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</si>
  <si>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</si>
  <si>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</si>
  <si>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</si>
  <si>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</si>
  <si>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</si>
  <si>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</si>
  <si>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</si>
  <si>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</si>
  <si>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</si>
  <si>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</si>
  <si>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</si>
  <si>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</si>
  <si>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</si>
  <si>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</si>
  <si>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</si>
  <si>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</si>
  <si>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</si>
  <si>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</si>
  <si>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</si>
  <si>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</si>
  <si>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</si>
  <si>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</si>
  <si>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</si>
  <si>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</si>
  <si>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</si>
  <si>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</si>
  <si>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</si>
  <si>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</si>
  <si>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</si>
  <si>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</si>
  <si>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</si>
  <si>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</si>
  <si>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</si>
  <si>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</si>
  <si>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</si>
  <si>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</si>
  <si>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</si>
  <si>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</si>
  <si>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</si>
  <si>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</si>
  <si>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</si>
  <si>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</si>
  <si>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</si>
  <si>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</si>
  <si>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</si>
  <si>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</si>
  <si>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</si>
  <si>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</si>
  <si>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</si>
  <si>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</si>
  <si>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</si>
  <si>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</si>
  <si>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</si>
  <si>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</si>
  <si>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</si>
  <si>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</si>
  <si>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</si>
  <si>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</si>
  <si>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</si>
  <si>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</si>
  <si>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</si>
  <si>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</si>
  <si>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</si>
  <si>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</si>
  <si>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</si>
  <si>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</si>
  <si>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</si>
  <si>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</si>
  <si>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</si>
  <si>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</si>
  <si>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</si>
  <si>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</si>
  <si>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</si>
  <si>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</si>
  <si>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</si>
  <si>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</si>
  <si>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</si>
  <si>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</si>
  <si>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</si>
  <si>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</si>
  <si>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</si>
  <si>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</si>
  <si>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</si>
  <si>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</si>
  <si>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</si>
  <si>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</si>
  <si>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</si>
  <si>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</si>
  <si>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</si>
  <si>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</si>
  <si>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</si>
  <si>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</si>
  <si>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</si>
  <si>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</si>
  <si>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</si>
  <si>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</si>
  <si>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</si>
  <si>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</si>
  <si>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</si>
  <si>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</si>
  <si>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</si>
  <si>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</si>
  <si>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</si>
  <si>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</si>
  <si>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</si>
  <si>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</si>
  <si>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</si>
  <si>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</si>
  <si>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</si>
  <si>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</si>
  <si>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</si>
  <si>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</si>
  <si>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</si>
  <si>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</si>
  <si>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</si>
  <si>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</si>
  <si>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</si>
  <si>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</si>
  <si>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</si>
  <si>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</si>
  <si>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</si>
  <si>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</si>
  <si>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</si>
  <si>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</si>
  <si>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</si>
  <si>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</si>
  <si>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</si>
  <si>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</si>
  <si>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</si>
  <si>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</si>
  <si>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</si>
  <si>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</si>
  <si>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</si>
  <si>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</si>
  <si>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</si>
  <si>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</si>
  <si>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</si>
  <si>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</si>
  <si>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</si>
  <si>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</si>
  <si>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</si>
  <si>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</si>
  <si>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</si>
  <si>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</si>
  <si>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</si>
  <si>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</si>
  <si>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</si>
  <si>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</si>
  <si>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</si>
  <si>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</si>
  <si>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</si>
  <si>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</si>
  <si>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</si>
  <si>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</si>
  <si>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</si>
  <si>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</si>
  <si>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</si>
  <si>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</si>
  <si>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</si>
  <si>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</si>
  <si>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</si>
  <si>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</si>
  <si>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</si>
  <si>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</si>
  <si>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</si>
  <si>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</si>
  <si>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</si>
  <si>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</si>
  <si>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</si>
  <si>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</si>
  <si>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</si>
  <si>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</si>
  <si>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</si>
  <si>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</si>
  <si>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</si>
  <si>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</si>
  <si>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</si>
  <si>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</si>
  <si>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</si>
  <si>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</si>
  <si>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</si>
  <si>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</si>
  <si>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</si>
  <si>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</si>
  <si>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</si>
  <si>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</si>
  <si>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</si>
  <si>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</si>
  <si>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</si>
  <si>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</si>
  <si>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</si>
  <si>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</si>
  <si>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</si>
  <si>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</si>
  <si>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</si>
  <si>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</si>
  <si>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</si>
  <si>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</si>
  <si>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</si>
  <si>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</si>
  <si>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</si>
  <si>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</si>
  <si>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</si>
  <si>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</si>
  <si>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</si>
  <si>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</si>
  <si>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</si>
  <si>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</si>
  <si>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</si>
  <si>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</si>
  <si>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</si>
  <si>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</si>
  <si>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</si>
  <si>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</si>
  <si>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</si>
  <si>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</si>
  <si>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</si>
  <si>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</si>
  <si>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</si>
  <si>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</si>
  <si>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</si>
  <si>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</si>
  <si>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</si>
  <si>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</si>
  <si>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</si>
  <si>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</si>
  <si>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</si>
  <si>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</si>
  <si>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</si>
  <si>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</si>
  <si>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</si>
  <si>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</si>
  <si>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</si>
  <si>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</si>
  <si>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</si>
  <si>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</si>
  <si>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</si>
  <si>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</si>
  <si>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</si>
  <si>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</si>
  <si>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</si>
  <si>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</si>
  <si>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</si>
  <si>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</si>
  <si>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</si>
  <si>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</si>
  <si>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</si>
  <si>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</si>
  <si>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</si>
  <si>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</si>
  <si>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</si>
  <si>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</si>
  <si>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</si>
  <si>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</si>
  <si>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</si>
  <si>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</si>
  <si>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</si>
  <si>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</si>
  <si>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</si>
  <si>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</si>
  <si>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</si>
  <si>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</si>
  <si>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</si>
  <si>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</si>
  <si>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</si>
  <si>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</si>
  <si>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</si>
  <si>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</si>
  <si>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</si>
  <si>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</si>
  <si>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</si>
  <si>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</si>
  <si>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</si>
  <si>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</si>
  <si>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</si>
  <si>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</si>
  <si>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</si>
  <si>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</si>
  <si>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</si>
  <si>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</si>
  <si>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</si>
  <si>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</si>
  <si>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</si>
  <si>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</si>
  <si>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</si>
  <si>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</si>
  <si>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</si>
  <si>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</si>
  <si>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</si>
  <si>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</si>
  <si>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</si>
  <si>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</si>
  <si>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</si>
  <si>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</si>
  <si>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</si>
  <si>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</si>
  <si>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</si>
  <si>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</si>
  <si>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</si>
  <si>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</si>
  <si>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</si>
  <si>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</si>
  <si>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</si>
  <si>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</si>
  <si>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</si>
  <si>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</si>
  <si>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</si>
  <si>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</si>
  <si>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</si>
  <si>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</si>
  <si>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</si>
  <si>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</si>
  <si>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</si>
  <si>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</si>
  <si>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</si>
  <si>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</si>
  <si>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</si>
  <si>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</si>
  <si>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</si>
  <si>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</si>
  <si>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</si>
  <si>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</si>
  <si>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</si>
  <si>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</si>
  <si>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</si>
  <si>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</si>
  <si>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</si>
  <si>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</si>
  <si>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</si>
  <si>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</si>
  <si>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</si>
  <si>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</si>
  <si>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</si>
  <si>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</si>
  <si>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</si>
  <si>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</si>
  <si>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</si>
  <si>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</si>
  <si>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</si>
  <si>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</si>
  <si>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</si>
  <si>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</si>
  <si>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</si>
  <si>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</si>
  <si>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</si>
  <si>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</si>
  <si>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</si>
  <si>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</si>
  <si>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</si>
  <si>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</si>
  <si>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</si>
  <si>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</si>
  <si>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</si>
  <si>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</si>
  <si>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</si>
  <si>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</si>
  <si>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</si>
  <si>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</si>
  <si>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</si>
  <si>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</si>
  <si>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</si>
  <si>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</si>
  <si>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</si>
  <si>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</si>
  <si>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</si>
  <si>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</si>
  <si>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</si>
  <si>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</si>
  <si>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</si>
  <si>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</si>
  <si>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</si>
  <si>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</si>
  <si>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</si>
  <si>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</si>
  <si>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</si>
  <si>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</si>
  <si>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</si>
  <si>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</si>
  <si>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</si>
  <si>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</si>
  <si>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</si>
  <si>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</si>
  <si>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</si>
  <si>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</si>
  <si>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</si>
  <si>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</si>
  <si>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</si>
  <si>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</si>
  <si>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</si>
  <si>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</si>
  <si>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</si>
  <si>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</si>
  <si>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</si>
  <si>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</si>
  <si>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</si>
  <si>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</si>
  <si>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</si>
  <si>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</si>
  <si>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</si>
  <si>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</si>
  <si>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</si>
  <si>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</si>
  <si>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</si>
  <si>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</si>
  <si>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</si>
  <si>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</si>
  <si>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</si>
  <si>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</si>
  <si>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</si>
  <si>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</si>
  <si>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</si>
  <si>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</si>
  <si>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</si>
  <si>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</si>
  <si>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</si>
  <si>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</si>
  <si>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</si>
  <si>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</si>
  <si>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</si>
  <si>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</si>
  <si>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</si>
  <si>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</si>
  <si>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</si>
  <si>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</si>
  <si>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</si>
  <si>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</si>
  <si>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</si>
  <si>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</si>
  <si>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</si>
  <si>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</si>
  <si>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</si>
  <si>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</si>
  <si>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</si>
  <si>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</si>
  <si>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</si>
  <si>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</si>
  <si>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</si>
  <si>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</si>
  <si>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</si>
  <si>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</si>
  <si>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</si>
  <si>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</si>
  <si>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</si>
  <si>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</si>
  <si>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</si>
  <si>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</si>
  <si>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</si>
  <si>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</si>
  <si>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</si>
  <si>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</si>
  <si>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</si>
  <si>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</si>
  <si>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</si>
  <si>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</si>
  <si>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</si>
  <si>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</si>
  <si>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</si>
  <si>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</si>
  <si>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</si>
  <si>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</si>
  <si>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</si>
  <si>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</si>
  <si>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</si>
  <si>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</si>
  <si>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</si>
  <si>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</si>
  <si>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</si>
  <si>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</si>
  <si>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</si>
  <si>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</si>
  <si>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</si>
  <si>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</si>
  <si>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</si>
  <si>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</si>
  <si>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</si>
  <si>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</si>
  <si>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</si>
  <si>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</si>
  <si>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</si>
  <si>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</si>
  <si>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</si>
  <si>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</si>
  <si>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</si>
  <si>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</si>
  <si>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</si>
  <si>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</si>
  <si>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</si>
  <si>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</si>
  <si>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</si>
  <si>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</si>
  <si>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</si>
  <si>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</si>
  <si>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</si>
  <si>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</si>
  <si>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</si>
  <si>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</si>
  <si>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</si>
  <si>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</si>
  <si>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</si>
  <si>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</si>
  <si>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</si>
  <si>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</si>
  <si>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</si>
  <si>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</si>
  <si>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</si>
  <si>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</si>
  <si>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</si>
  <si>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</si>
  <si>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</si>
  <si>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</si>
  <si>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</si>
  <si>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</si>
  <si>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</si>
  <si>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</si>
  <si>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</si>
  <si>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</si>
  <si>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</si>
  <si>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</si>
  <si>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</si>
  <si>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</si>
  <si>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</si>
  <si>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</si>
  <si>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</si>
  <si>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</si>
  <si>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</si>
  <si>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</si>
  <si>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</si>
  <si>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</si>
  <si>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</si>
  <si>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</si>
  <si>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</si>
  <si>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</si>
  <si>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</si>
  <si>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</si>
  <si>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</si>
  <si>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</si>
  <si>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</si>
  <si>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</si>
  <si>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</si>
  <si>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</si>
  <si>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</si>
  <si>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</si>
  <si>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</si>
  <si>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</si>
  <si>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</si>
  <si>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</si>
  <si>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</si>
  <si>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</si>
  <si>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</si>
  <si>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</si>
  <si>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</si>
  <si>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</si>
  <si>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</si>
  <si>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</si>
  <si>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</si>
  <si>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</si>
  <si>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</si>
  <si>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</si>
  <si>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</si>
  <si>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</si>
  <si>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</si>
  <si>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</si>
  <si>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</si>
  <si>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</si>
  <si>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</si>
  <si>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</si>
  <si>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</si>
  <si>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</si>
  <si>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</si>
  <si>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</si>
  <si>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</si>
  <si>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</si>
  <si>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</si>
  <si>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</si>
  <si>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</si>
  <si>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</si>
  <si>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</si>
  <si>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</si>
  <si>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</si>
  <si>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</si>
  <si>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</si>
  <si>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</si>
  <si>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</si>
  <si>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</si>
  <si>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</si>
  <si>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</si>
  <si>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</si>
  <si>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</si>
  <si>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</si>
  <si>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</si>
  <si>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</si>
  <si>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</si>
  <si>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</si>
  <si>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</si>
  <si>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</si>
  <si>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</si>
  <si>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</si>
  <si>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</si>
  <si>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</si>
  <si>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</si>
  <si>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</si>
  <si>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</si>
  <si>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</si>
  <si>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</si>
  <si>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</si>
  <si>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</si>
  <si>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</si>
  <si>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</si>
  <si>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</si>
  <si>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</si>
  <si>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</si>
  <si>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</si>
  <si>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</si>
  <si>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</si>
  <si>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</si>
  <si>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</si>
  <si>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</si>
  <si>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</si>
  <si>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</si>
  <si>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</si>
  <si>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</si>
  <si>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</si>
  <si>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</si>
  <si>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</si>
  <si>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</si>
  <si>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</si>
  <si>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</si>
  <si>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</si>
  <si>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</si>
  <si>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</si>
  <si>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</si>
  <si>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</si>
  <si>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</si>
  <si>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</si>
  <si>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</si>
  <si>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</si>
  <si>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</si>
  <si>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</si>
  <si>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</si>
  <si>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</si>
  <si>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</si>
  <si>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</si>
  <si>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</si>
  <si>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</si>
  <si>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</si>
  <si>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</si>
  <si>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</si>
  <si>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</si>
  <si>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</si>
  <si>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</si>
  <si>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</si>
  <si>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</si>
  <si>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</si>
  <si>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</si>
  <si>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</si>
  <si>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</si>
  <si>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</si>
  <si>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</si>
  <si>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</si>
  <si>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</si>
  <si>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</si>
  <si>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</si>
  <si>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</si>
  <si>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</si>
  <si>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</si>
  <si>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</si>
  <si>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</si>
  <si>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</si>
  <si>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</si>
  <si>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</si>
  <si>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</si>
  <si>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</si>
  <si>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</si>
  <si>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</si>
  <si>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</si>
  <si>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</si>
  <si>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</si>
  <si>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</si>
  <si>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</si>
  <si>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</si>
  <si>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</si>
  <si>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</si>
  <si>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</si>
  <si>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</si>
  <si>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</si>
  <si>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</si>
  <si>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</si>
  <si>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</si>
  <si>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</si>
  <si>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</si>
  <si>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</si>
  <si>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</si>
  <si>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</si>
  <si>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</si>
  <si>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</si>
  <si>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</si>
  <si>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</si>
  <si>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</si>
  <si>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</si>
  <si>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</si>
  <si>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</si>
  <si>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</si>
  <si>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</si>
  <si>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</si>
  <si>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</si>
  <si>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</si>
  <si>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</si>
  <si>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</si>
  <si>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</si>
  <si>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</si>
  <si>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</si>
  <si>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</si>
  <si>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</si>
  <si>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</si>
  <si>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</si>
  <si>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</si>
  <si>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</si>
  <si>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</si>
  <si>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</si>
  <si>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</si>
  <si>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</si>
  <si>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</si>
  <si>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</si>
  <si>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</si>
  <si>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</si>
  <si>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</si>
  <si>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</si>
  <si>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</si>
  <si>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</si>
  <si>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</si>
  <si>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</si>
  <si>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</si>
  <si>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</si>
  <si>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</si>
  <si>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</si>
  <si>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</si>
  <si>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</si>
  <si>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</si>
  <si>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</si>
  <si>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</si>
  <si>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</si>
  <si>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</si>
  <si>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</si>
  <si>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</si>
  <si>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</si>
  <si>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</si>
  <si>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</si>
  <si>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</si>
  <si>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</si>
  <si>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</si>
  <si>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</si>
  <si>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</si>
  <si>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</si>
  <si>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</si>
  <si>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</si>
  <si>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</si>
  <si>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</si>
  <si>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</si>
  <si>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</si>
  <si>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</si>
  <si>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</si>
  <si>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</si>
  <si>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</si>
  <si>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</si>
  <si>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</si>
  <si>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</si>
  <si>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</si>
  <si>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</si>
  <si>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</si>
  <si>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</si>
  <si>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</si>
  <si>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</si>
  <si>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</si>
  <si>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</si>
  <si>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</si>
  <si>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</si>
  <si>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</si>
  <si>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</si>
  <si>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</si>
  <si>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</si>
  <si>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</si>
  <si>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</si>
  <si>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</si>
  <si>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</si>
  <si>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</si>
  <si>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</si>
  <si>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</si>
  <si>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</si>
  <si>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</si>
  <si>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</si>
  <si>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</si>
  <si>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</si>
  <si>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</si>
  <si>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</si>
  <si>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</si>
  <si>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</si>
  <si>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</si>
  <si>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</si>
  <si>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</si>
  <si>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</si>
  <si>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</si>
  <si>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</si>
  <si>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</si>
  <si>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</si>
  <si>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</si>
  <si>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</si>
  <si>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</si>
  <si>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</si>
  <si>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</si>
  <si>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</si>
  <si>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</si>
  <si>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</si>
  <si>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</si>
  <si>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</si>
  <si>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</si>
  <si>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</si>
  <si>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</si>
  <si>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</si>
  <si>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</si>
  <si>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</si>
  <si>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</si>
  <si>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</si>
  <si>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</si>
  <si>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</si>
  <si>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</si>
  <si>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</si>
  <si>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</si>
  <si>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</si>
  <si>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</si>
  <si>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</si>
  <si>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</si>
  <si>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</si>
  <si>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</si>
  <si>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</si>
  <si>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</si>
  <si>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</si>
  <si>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</si>
  <si>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</si>
  <si>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</si>
  <si>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</si>
  <si>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</si>
  <si>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</si>
  <si>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</si>
  <si>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</si>
  <si>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</si>
  <si>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</si>
  <si>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</si>
  <si>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</si>
  <si>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</si>
  <si>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</si>
  <si>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</si>
  <si>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</si>
  <si>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</si>
  <si>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</si>
  <si>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</si>
  <si>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</si>
  <si>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</si>
  <si>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</si>
  <si>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</si>
  <si>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</si>
  <si>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</si>
  <si>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</si>
  <si>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</si>
  <si>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</si>
  <si>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</si>
  <si>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</si>
  <si>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</si>
  <si>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</si>
  <si>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</si>
  <si>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</si>
  <si>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</si>
  <si>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</si>
  <si>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</si>
  <si>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</si>
  <si>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</si>
  <si>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</si>
  <si>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</si>
  <si>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</si>
  <si>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</si>
  <si>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</si>
  <si>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</si>
  <si>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</si>
  <si>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</si>
  <si>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</si>
  <si>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</si>
  <si>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</si>
  <si>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</si>
  <si>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</si>
  <si>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</si>
  <si>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</si>
  <si>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</si>
  <si>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</si>
  <si>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</si>
  <si>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</si>
  <si>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</si>
  <si>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</si>
  <si>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</si>
  <si>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</si>
  <si>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</si>
  <si>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</si>
  <si>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</si>
  <si>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</si>
  <si>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</si>
  <si>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</si>
  <si>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</si>
  <si>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</si>
  <si>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</si>
  <si>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</si>
  <si>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</si>
  <si>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</si>
  <si>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</si>
  <si>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</si>
  <si>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</si>
  <si>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</si>
  <si>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</si>
  <si>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</si>
  <si>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</si>
  <si>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</si>
  <si>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</si>
  <si>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</si>
  <si>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</si>
  <si>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</si>
  <si>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</si>
  <si>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</si>
  <si>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</si>
  <si>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</si>
  <si>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</si>
  <si>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</si>
  <si>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</si>
  <si>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</si>
  <si>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</si>
  <si>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</si>
  <si>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</si>
  <si>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</si>
  <si>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</si>
  <si>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</si>
  <si>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</si>
  <si>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</si>
  <si>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</si>
  <si>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</si>
  <si>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</si>
  <si>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</si>
  <si>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</si>
  <si>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</si>
  <si>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</si>
  <si>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</si>
  <si>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</si>
  <si>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</si>
  <si>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</si>
  <si>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</si>
  <si>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</si>
  <si>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</si>
  <si>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</si>
  <si>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</si>
  <si>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</si>
  <si>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</si>
  <si>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</si>
  <si>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</si>
  <si>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</si>
  <si>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</si>
  <si>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</si>
  <si>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</si>
  <si>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</si>
  <si>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</si>
  <si>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</si>
  <si>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</si>
  <si>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</si>
  <si>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</si>
  <si>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</si>
  <si>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</si>
  <si>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</si>
  <si>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</si>
  <si>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</si>
  <si>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</si>
  <si>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</si>
  <si>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</si>
  <si>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</si>
  <si>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</si>
  <si>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</si>
  <si>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</si>
  <si>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</si>
  <si>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</si>
  <si>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</si>
  <si>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</si>
  <si>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</si>
  <si>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</si>
  <si>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</si>
  <si>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</si>
  <si>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</si>
  <si>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</si>
  <si>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</si>
  <si>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</si>
  <si>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</si>
  <si>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</si>
  <si>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</si>
  <si>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</si>
  <si>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</si>
  <si>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</si>
  <si>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</si>
  <si>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</si>
  <si>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</si>
  <si>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</si>
  <si>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</si>
  <si>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</si>
  <si>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</si>
  <si>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</si>
  <si>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</si>
  <si>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</si>
  <si>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</si>
  <si>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</si>
  <si>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</si>
  <si>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</si>
  <si>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</si>
  <si>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</si>
  <si>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</si>
  <si>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</si>
  <si>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</si>
  <si>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</si>
  <si>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</si>
  <si>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</si>
  <si>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</si>
  <si>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</si>
  <si>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</si>
  <si>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</si>
  <si>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</si>
  <si>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</si>
  <si>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</si>
  <si>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</si>
  <si>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</si>
  <si>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</si>
  <si>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</si>
  <si>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</si>
  <si>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</si>
  <si>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</si>
  <si>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</si>
  <si>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</si>
  <si>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</si>
  <si>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</si>
  <si>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</si>
  <si>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</si>
  <si>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</si>
  <si>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</si>
  <si>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</si>
  <si>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</si>
  <si>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</si>
  <si>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</si>
  <si>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</si>
  <si>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</si>
  <si>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</si>
  <si>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</si>
  <si>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</si>
  <si>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</si>
  <si>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</si>
  <si>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</si>
  <si>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</si>
  <si>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</si>
  <si>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</si>
  <si>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</si>
  <si>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</si>
  <si>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</si>
  <si>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</si>
  <si>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</si>
  <si>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</si>
  <si>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</si>
  <si>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</si>
  <si>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</si>
  <si>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</si>
  <si>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</si>
  <si>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</si>
  <si>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</si>
  <si>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</si>
  <si>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</si>
  <si>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</si>
  <si>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</si>
  <si>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</si>
  <si>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</si>
  <si>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</si>
  <si>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</si>
  <si>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</si>
  <si>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</si>
  <si>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</si>
  <si>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</si>
  <si>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</si>
  <si>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</si>
  <si>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</si>
  <si>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</si>
  <si>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</si>
  <si>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</si>
  <si>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</si>
  <si>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</si>
  <si>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</si>
  <si>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</si>
  <si>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</si>
  <si>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</si>
  <si>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</si>
  <si>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</si>
  <si>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</si>
  <si>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</si>
  <si>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</si>
  <si>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</si>
  <si>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</si>
  <si>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</si>
  <si>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</si>
  <si>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</si>
  <si>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</si>
  <si>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</si>
  <si>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</si>
  <si>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</si>
  <si>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</si>
  <si>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</si>
  <si>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</si>
  <si>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</si>
  <si>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</si>
  <si>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</si>
  <si>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</si>
  <si>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</si>
  <si>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</si>
  <si>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</si>
  <si>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</si>
  <si>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</si>
  <si>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</si>
  <si>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</si>
  <si>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</si>
  <si>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</si>
  <si>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</si>
  <si>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</si>
  <si>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</si>
  <si>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</si>
  <si>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</si>
  <si>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</si>
  <si>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</si>
  <si>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</si>
  <si>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</si>
  <si>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</si>
  <si>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</si>
  <si>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</si>
  <si>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</si>
  <si>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</si>
  <si>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</si>
  <si>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</si>
  <si>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</si>
  <si>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</si>
  <si>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</si>
  <si>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</si>
  <si>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</si>
  <si>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</si>
  <si>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</si>
  <si>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</si>
  <si>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</si>
  <si>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</si>
  <si>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</si>
  <si>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</si>
  <si>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</si>
  <si>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</si>
  <si>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</si>
  <si>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</si>
  <si>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</si>
  <si>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</si>
  <si>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</si>
  <si>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</si>
  <si>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</si>
  <si>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</si>
  <si>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</si>
  <si>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</si>
  <si>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</si>
  <si>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</si>
  <si>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</si>
  <si>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</si>
  <si>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</si>
  <si>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</si>
  <si>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</si>
  <si>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</si>
  <si>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</si>
  <si>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</si>
  <si>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</si>
  <si>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</si>
  <si>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</si>
  <si>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</si>
  <si>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</si>
  <si>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</si>
  <si>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</si>
  <si>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</si>
  <si>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</si>
  <si>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</si>
  <si>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</si>
  <si>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</si>
  <si>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</si>
  <si>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</si>
  <si>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</si>
  <si>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</si>
  <si>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</si>
  <si>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</si>
  <si>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</si>
  <si>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</si>
  <si>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</si>
  <si>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</si>
  <si>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</si>
  <si>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</si>
  <si>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</si>
  <si>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</si>
  <si>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</si>
  <si>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</si>
  <si>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</si>
  <si>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</si>
  <si>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</si>
  <si>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</si>
  <si>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</si>
  <si>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</si>
  <si>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</si>
  <si>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</si>
  <si>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</si>
  <si>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</si>
  <si>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</si>
  <si>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</si>
  <si>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</si>
  <si>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</si>
  <si>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</si>
  <si>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</si>
  <si>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</si>
  <si>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</si>
  <si>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</si>
  <si>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</si>
  <si>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</si>
  <si>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</si>
  <si>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</si>
  <si>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</si>
  <si>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</si>
  <si>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</si>
  <si>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</si>
  <si>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</si>
  <si>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</si>
  <si>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</si>
  <si>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</si>
  <si>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</si>
  <si>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</si>
  <si>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</si>
  <si>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</si>
  <si>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</si>
  <si>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</si>
  <si>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</si>
  <si>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</si>
  <si>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</si>
  <si>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</si>
  <si>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</si>
  <si>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</si>
  <si>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</si>
  <si>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</si>
  <si>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</si>
  <si>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</si>
  <si>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</si>
  <si>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</si>
  <si>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</si>
  <si>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</si>
  <si>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</si>
  <si>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</si>
  <si>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</si>
  <si>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</si>
  <si>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</si>
  <si>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</si>
  <si>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</si>
  <si>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</si>
  <si>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</si>
  <si>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</si>
  <si>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</si>
  <si>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</si>
  <si>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</si>
  <si>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</si>
  <si>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</si>
  <si>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</si>
  <si>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</si>
  <si>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</si>
  <si>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</si>
  <si>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</si>
  <si>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</si>
  <si>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</si>
  <si>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</si>
  <si>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</si>
  <si>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</si>
  <si>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</si>
  <si>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</si>
  <si>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</si>
  <si>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</si>
  <si>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</si>
  <si>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</si>
  <si>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</si>
  <si>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</si>
  <si>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</si>
  <si>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</si>
  <si>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</si>
  <si>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</si>
  <si>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</si>
  <si>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</si>
  <si>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</si>
  <si>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</si>
  <si>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</si>
  <si>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</si>
  <si>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</si>
  <si>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</si>
  <si>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</si>
  <si>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</si>
  <si>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</si>
  <si>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</si>
  <si>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</si>
  <si>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</si>
  <si>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</si>
  <si>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</si>
  <si>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</si>
  <si>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</si>
  <si>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</si>
  <si>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</si>
  <si>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</si>
  <si>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</si>
  <si>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</si>
  <si>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</si>
  <si>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</si>
  <si>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</si>
  <si>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</si>
  <si>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</si>
  <si>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</si>
  <si>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</si>
  <si>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</si>
  <si>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</si>
  <si>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</si>
  <si>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</si>
  <si>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</si>
  <si>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</si>
  <si>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</si>
  <si>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</si>
  <si>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</si>
  <si>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</si>
  <si>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</si>
  <si>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</si>
  <si>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</si>
  <si>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</si>
  <si>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</si>
  <si>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</si>
  <si>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</si>
  <si>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</si>
  <si>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</si>
  <si>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</si>
  <si>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</si>
  <si>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</si>
  <si>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</si>
  <si>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</si>
  <si>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</si>
  <si>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</si>
  <si>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</si>
  <si>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</si>
  <si>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</si>
  <si>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</si>
  <si>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</si>
  <si>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</si>
  <si>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</si>
  <si>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</si>
  <si>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</si>
  <si>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</si>
  <si>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</si>
  <si>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</si>
  <si>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</si>
  <si>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</si>
  <si>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</si>
  <si>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</si>
  <si>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</si>
  <si>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</si>
  <si>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</si>
  <si>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</si>
  <si>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</si>
  <si>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</si>
  <si>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</si>
  <si>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</si>
  <si>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</si>
  <si>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</si>
  <si>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</si>
  <si>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</si>
  <si>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</si>
  <si>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</si>
  <si>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</si>
  <si>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</si>
  <si>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</si>
  <si>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</si>
  <si>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</si>
  <si>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</si>
  <si>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</si>
  <si>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</si>
  <si>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</si>
  <si>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</si>
  <si>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</si>
  <si>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</si>
  <si>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</si>
  <si>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</si>
  <si>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</si>
  <si>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</si>
  <si>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</si>
  <si>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</si>
  <si>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</si>
  <si>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</si>
  <si>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</si>
  <si>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</si>
  <si>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</si>
  <si>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</si>
  <si>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</si>
  <si>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</si>
  <si>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</si>
  <si>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</si>
  <si>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</si>
  <si>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</si>
  <si>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</si>
  <si>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</si>
  <si>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</si>
  <si>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</si>
  <si>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</si>
  <si>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</si>
  <si>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</si>
  <si>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</si>
  <si>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</si>
  <si>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</si>
  <si>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</si>
  <si>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</si>
  <si>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</si>
  <si>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</si>
  <si>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</si>
  <si>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</si>
  <si>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</si>
  <si>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</si>
  <si>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</si>
  <si>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</si>
  <si>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</si>
  <si>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</si>
  <si>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</si>
  <si>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</si>
  <si>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</si>
  <si>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</si>
  <si>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</si>
  <si>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</si>
  <si>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</si>
  <si>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</si>
  <si>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</si>
  <si>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</si>
  <si>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</si>
  <si>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</si>
  <si>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</si>
  <si>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</si>
  <si>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</si>
  <si>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</si>
  <si>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</si>
  <si>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</si>
  <si>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</si>
  <si>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</si>
  <si>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</si>
  <si>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</si>
  <si>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</si>
  <si>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</si>
  <si>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</si>
  <si>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</si>
  <si>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</si>
  <si>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</si>
  <si>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</si>
  <si>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</si>
  <si>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</si>
  <si>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</si>
  <si>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</si>
  <si>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</si>
  <si>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</si>
  <si>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</si>
  <si>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</si>
  <si>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</si>
  <si>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</si>
  <si>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</si>
  <si>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</si>
  <si>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</si>
  <si>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</si>
  <si>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</si>
  <si>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</si>
  <si>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</si>
  <si>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</si>
  <si>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</si>
  <si>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</si>
  <si>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</si>
  <si>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</si>
  <si>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</si>
  <si>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</si>
  <si>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</si>
  <si>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</si>
  <si>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</si>
  <si>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</si>
  <si>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</si>
  <si>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</si>
  <si>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</si>
  <si>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</si>
  <si>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</si>
  <si>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</si>
  <si>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</si>
  <si>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</si>
  <si>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</si>
  <si>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</si>
  <si>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</si>
  <si>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</si>
  <si>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</si>
  <si>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</si>
  <si>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</si>
  <si>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</si>
  <si>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</si>
  <si>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</si>
  <si>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</si>
  <si>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</si>
  <si>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</si>
  <si>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</si>
  <si>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</si>
  <si>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</si>
  <si>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</si>
  <si>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</si>
  <si>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</si>
  <si>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</si>
  <si>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</si>
  <si>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</si>
  <si>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</si>
  <si>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</si>
  <si>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</si>
  <si>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</si>
  <si>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</si>
  <si>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</si>
  <si>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</si>
  <si>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</si>
  <si>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</si>
  <si>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</si>
  <si>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</si>
  <si>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</si>
  <si>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</si>
  <si>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</si>
  <si>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</si>
  <si>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</si>
  <si>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</si>
  <si>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</si>
  <si>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</si>
  <si>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</si>
  <si>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</si>
  <si>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</si>
  <si>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</si>
  <si>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</si>
  <si>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</si>
  <si>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</si>
  <si>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</si>
  <si>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</si>
  <si>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</si>
  <si>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</si>
  <si>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</si>
  <si>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</si>
  <si>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</si>
  <si>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</si>
  <si>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</si>
  <si>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</si>
  <si>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</si>
  <si>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</si>
  <si>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</si>
  <si>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</si>
  <si>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</si>
  <si>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</si>
  <si>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</si>
  <si>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</si>
  <si>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</si>
  <si>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</si>
  <si>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</si>
  <si>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</si>
  <si>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</si>
  <si>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</si>
  <si>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</si>
  <si>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</si>
  <si>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</si>
  <si>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</si>
  <si>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</si>
  <si>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</si>
  <si>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</si>
  <si>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</si>
  <si>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</si>
  <si>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</si>
  <si>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</si>
  <si>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</si>
  <si>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</si>
  <si>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</si>
  <si>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</si>
  <si>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</si>
  <si>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</si>
  <si>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</si>
  <si>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</si>
  <si>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</si>
  <si>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</si>
  <si>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</si>
  <si>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</si>
  <si>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</si>
  <si>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</si>
  <si>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</si>
  <si>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</si>
  <si>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</si>
  <si>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</si>
  <si>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</si>
  <si>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</si>
  <si>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</si>
  <si>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</si>
  <si>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</si>
  <si>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</si>
  <si>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</si>
  <si>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</si>
  <si>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</si>
  <si>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</si>
  <si>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</si>
  <si>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</si>
  <si>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</si>
  <si>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</si>
  <si>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</si>
  <si>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</si>
  <si>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</si>
  <si>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</si>
  <si>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</si>
  <si>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</si>
  <si>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</si>
  <si>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</si>
  <si>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</si>
  <si>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</si>
  <si>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</si>
  <si>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</si>
  <si>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</si>
  <si>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</si>
  <si>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</si>
  <si>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</si>
  <si>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</si>
  <si>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</si>
  <si>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</si>
  <si>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</si>
  <si>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</si>
  <si>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</si>
  <si>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</si>
  <si>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</si>
  <si>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</si>
  <si>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</si>
  <si>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</si>
  <si>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</si>
  <si>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</si>
  <si>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</si>
  <si>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</si>
  <si>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</si>
  <si>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</si>
  <si>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</si>
  <si>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</si>
  <si>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</si>
  <si>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</si>
  <si>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</si>
  <si>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</si>
  <si>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</si>
  <si>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</si>
  <si>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</si>
  <si>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</si>
  <si>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</si>
  <si>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</si>
  <si>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</si>
  <si>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</si>
  <si>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</si>
  <si>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</si>
  <si>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</si>
  <si>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</si>
  <si>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</si>
  <si>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</si>
  <si>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</si>
  <si>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</si>
  <si>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</si>
  <si>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</si>
  <si>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</si>
  <si>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</si>
  <si>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</si>
  <si>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</si>
  <si>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</si>
  <si>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</si>
  <si>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</si>
  <si>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</si>
  <si>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</si>
  <si>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</si>
  <si>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</si>
  <si>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</si>
  <si>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</si>
  <si>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</si>
  <si>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</si>
  <si>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</si>
  <si>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</si>
  <si>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</si>
  <si>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</si>
  <si>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</si>
  <si>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</si>
  <si>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</si>
  <si>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</si>
  <si>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</si>
  <si>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</si>
  <si>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</si>
  <si>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</si>
  <si>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</si>
  <si>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</si>
  <si>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</si>
  <si>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</si>
  <si>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</si>
  <si>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</si>
  <si>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</si>
  <si>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</si>
  <si>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</si>
  <si>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</si>
  <si>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</si>
  <si>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</si>
  <si>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</si>
  <si>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</si>
  <si>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</si>
  <si>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</si>
  <si>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</si>
  <si>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</si>
  <si>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</si>
  <si>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</si>
  <si>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</si>
  <si>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</si>
  <si>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</si>
  <si>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</si>
  <si>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</si>
  <si>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</si>
  <si>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</si>
  <si>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</si>
  <si>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</si>
  <si>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</si>
  <si>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</si>
  <si>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</si>
  <si>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</si>
  <si>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</si>
  <si>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</si>
  <si>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</si>
  <si>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</si>
  <si>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</si>
  <si>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</si>
  <si>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</si>
  <si>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</si>
  <si>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</si>
  <si>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</si>
  <si>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</si>
  <si>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</si>
  <si>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</si>
  <si>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</si>
  <si>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</si>
  <si>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</si>
  <si>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</si>
  <si>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</si>
  <si>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</si>
  <si>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</si>
  <si>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</si>
  <si>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</si>
  <si>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</si>
  <si>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</si>
  <si>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</si>
  <si>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</si>
  <si>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</si>
  <si>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</si>
  <si>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</si>
  <si>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</si>
  <si>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</si>
  <si>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</si>
  <si>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</si>
  <si>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</si>
  <si>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</si>
  <si>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</si>
  <si>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</si>
  <si>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</si>
  <si>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</si>
  <si>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</si>
  <si>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</si>
  <si>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</si>
  <si>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</si>
  <si>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</si>
  <si>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</si>
  <si>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</si>
  <si>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</si>
  <si>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</si>
  <si>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</si>
  <si>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</si>
  <si>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</si>
  <si>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</si>
  <si>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</si>
  <si>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</si>
  <si>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</si>
  <si>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</si>
  <si>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</si>
  <si>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</si>
  <si>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</si>
  <si>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</si>
  <si>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</si>
  <si>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</si>
  <si>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</si>
  <si>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</si>
  <si>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</si>
  <si>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</si>
  <si>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</si>
  <si>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</si>
  <si>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</si>
  <si>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</si>
  <si>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</si>
  <si>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</si>
  <si>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</si>
  <si>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</si>
  <si>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</si>
  <si>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</si>
  <si>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</si>
  <si>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</si>
  <si>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</si>
  <si>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</si>
  <si>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</si>
  <si>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</si>
  <si>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</si>
  <si>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</si>
  <si>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</si>
  <si>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</si>
  <si>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</si>
  <si>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</si>
  <si>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</si>
  <si>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</si>
  <si>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</si>
  <si>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</si>
  <si>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</si>
  <si>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</si>
  <si>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</si>
  <si>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</si>
  <si>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</si>
  <si>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</si>
  <si>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</si>
  <si>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</si>
  <si>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</si>
  <si>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</si>
  <si>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</si>
  <si>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</si>
  <si>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</si>
  <si>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</si>
  <si>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</si>
  <si>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</si>
  <si>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</si>
  <si>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</si>
  <si>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</si>
  <si>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</si>
  <si>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</si>
  <si>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</si>
  <si>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</si>
  <si>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</si>
  <si>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</si>
  <si>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</si>
  <si>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</si>
  <si>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</si>
  <si>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</si>
  <si>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</si>
  <si>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</si>
  <si>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</si>
  <si>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</si>
  <si>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</si>
  <si>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</si>
  <si>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</si>
  <si>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</si>
  <si>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</si>
  <si>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</si>
  <si>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</si>
  <si>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</si>
  <si>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</si>
  <si>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</si>
  <si>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</si>
  <si>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</si>
  <si>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</si>
  <si>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</si>
  <si>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</si>
  <si>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</si>
  <si>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</si>
  <si>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</si>
  <si>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</si>
  <si>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</si>
  <si>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</si>
  <si>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</si>
  <si>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</si>
  <si>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</si>
  <si>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</si>
  <si>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</si>
  <si>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</si>
  <si>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</si>
  <si>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</si>
  <si>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</si>
  <si>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</si>
  <si>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</si>
  <si>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</si>
  <si>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</si>
  <si>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</si>
  <si>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</si>
  <si>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</si>
  <si>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</si>
  <si>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</si>
  <si>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</si>
  <si>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</si>
  <si>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</si>
  <si>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</si>
  <si>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</si>
  <si>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</si>
  <si>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</si>
  <si>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</si>
  <si>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</si>
  <si>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</si>
  <si>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</si>
  <si>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</si>
  <si>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</si>
  <si>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</si>
  <si>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</si>
  <si>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</si>
  <si>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</si>
  <si>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</si>
  <si>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</si>
  <si>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</si>
  <si>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</si>
  <si>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</si>
  <si>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</si>
  <si>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</si>
  <si>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</si>
  <si>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</si>
  <si>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</si>
  <si>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</si>
  <si>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</si>
  <si>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</si>
  <si>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</si>
  <si>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</si>
  <si>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</si>
  <si>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</si>
  <si>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</si>
  <si>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</si>
  <si>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</si>
  <si>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</si>
  <si>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</si>
  <si>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</si>
  <si>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</si>
  <si>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</si>
  <si>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</si>
  <si>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</si>
  <si>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</si>
  <si>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</si>
  <si>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</si>
  <si>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</si>
  <si>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</si>
  <si>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</si>
  <si>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</si>
  <si>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</si>
  <si>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</si>
  <si>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</si>
  <si>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</si>
  <si>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</si>
  <si>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</si>
  <si>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</si>
  <si>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</si>
  <si>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</si>
  <si>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</si>
  <si>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</si>
  <si>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</si>
  <si>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</si>
  <si>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</si>
  <si>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</si>
  <si>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</si>
  <si>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</si>
  <si>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</si>
  <si>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</si>
  <si>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</si>
  <si>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</si>
  <si>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</si>
  <si>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</si>
  <si>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</si>
  <si>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</si>
  <si>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</si>
  <si>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</si>
  <si>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</si>
  <si>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</si>
  <si>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</si>
  <si>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</si>
  <si>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</si>
  <si>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</si>
  <si>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</si>
  <si>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</si>
  <si>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</si>
  <si>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</si>
  <si>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</si>
  <si>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</si>
  <si>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</si>
  <si>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</si>
  <si>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</si>
  <si>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</si>
  <si>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</si>
  <si>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</si>
  <si>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</si>
  <si>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</si>
  <si>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</si>
  <si>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</si>
  <si>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</si>
  <si>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</si>
  <si>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</si>
  <si>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</si>
  <si>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TAIWAY ELECTRONICS COMPONENTS CO., LTD</t>
    <phoneticPr fontId="6" type="noConversion"/>
  </si>
  <si>
    <t>4F N06 Lane359 Sec. 2 ZhongShan Road ZhongHe District New Taipei City Taiwan</t>
  </si>
  <si>
    <t>Amy Yen</t>
    <phoneticPr fontId="6" type="noConversion"/>
  </si>
  <si>
    <t>amy@taiway.com</t>
    <phoneticPr fontId="6" type="noConversion"/>
  </si>
  <si>
    <t>+886-2-8228-1538</t>
    <phoneticPr fontId="6" type="noConversion"/>
  </si>
  <si>
    <t>+8862-8228-1538</t>
    <phoneticPr fontId="6" type="noConversion"/>
  </si>
  <si>
    <t>https://www.taiway.com/list/conflict-minerals-statement.htm</t>
    <phoneticPr fontId="97" type="noConversion"/>
  </si>
  <si>
    <t>Manufacturer self declaration</t>
    <phoneticPr fontId="97" type="noConversion"/>
  </si>
  <si>
    <t>We ask suppliers to sign self declaration and provide certificate of origin</t>
    <phoneticPr fontId="97" type="noConversion"/>
  </si>
  <si>
    <t>30 ON CHUEN STREET</t>
    <phoneticPr fontId="99"/>
  </si>
</sst>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0">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9"/>
      <name val="細明體"/>
      <family val="3"/>
      <charset val="136"/>
    </font>
    <font>
      <sz val="12"/>
      <name val="新細明體"/>
      <family val="1"/>
      <scheme val="major"/>
    </font>
    <font>
      <sz val="6"/>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0" fillId="0" borderId="0" xfId="0" applyNumberForma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hidden="1"/>
    </xf>
    <xf numFmtId="49" fontId="98" fillId="33" borderId="10" xfId="0" applyNumberFormat="1" applyFont="1" applyFill="1" applyBorder="1" applyAlignment="1" applyProtection="1">
      <alignment horizontal="left" vertical="center" wrapText="1"/>
      <protection locked="0" hidden="1"/>
    </xf>
    <xf numFmtId="49" fontId="98" fillId="33" borderId="37" xfId="0" applyNumberFormat="1" applyFont="1" applyFill="1" applyBorder="1" applyAlignment="1" applyProtection="1">
      <alignment horizontal="left" vertical="center" wrapText="1"/>
      <protection locked="0" hidden="1"/>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33" borderId="53" xfId="0" applyFill="1" applyBorder="1" applyAlignment="1" applyProtection="1">
      <alignment horizontal="lef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my@taiwa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aiway.com/list/conflict-minerals-statement.htm" TargetMode="External"/><Relationship Id="rId4" Type="http://schemas.openxmlformats.org/officeDocument/2006/relationships/hyperlink" Target="mailto:amy@taiwa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4"/>
      <c r="B2" s="38" t="s">
        <v>870</v>
      </c>
      <c r="C2" s="36"/>
      <c r="D2" s="208"/>
      <c r="E2" s="3"/>
      <c r="F2" s="36"/>
      <c r="G2" s="34"/>
    </row>
    <row r="3" spans="1:7">
      <c r="A3" s="364"/>
      <c r="B3" s="5" t="s">
        <v>862</v>
      </c>
      <c r="C3" s="6"/>
      <c r="D3" s="209"/>
      <c r="E3" s="3"/>
      <c r="F3" s="6"/>
      <c r="G3" s="34"/>
    </row>
    <row r="4" spans="1:7" ht="15.75">
      <c r="A4" s="364"/>
      <c r="B4" s="41" t="s">
        <v>872</v>
      </c>
      <c r="C4" s="7"/>
      <c r="D4" s="210"/>
      <c r="E4" s="3"/>
      <c r="F4" s="7"/>
      <c r="G4" s="34"/>
    </row>
    <row r="5" spans="1:7">
      <c r="A5" s="364"/>
      <c r="B5" s="40" t="s">
        <v>1063</v>
      </c>
      <c r="C5" s="4"/>
      <c r="D5" s="211"/>
      <c r="E5" s="3"/>
      <c r="F5" s="4"/>
      <c r="G5" s="34"/>
    </row>
    <row r="6" spans="1:7">
      <c r="A6" s="364"/>
      <c r="B6" s="8"/>
      <c r="C6" s="8"/>
      <c r="D6" s="212"/>
      <c r="E6" s="8"/>
      <c r="F6" s="8"/>
      <c r="G6" s="34"/>
    </row>
    <row r="7" spans="1:7">
      <c r="A7" s="364"/>
      <c r="B7" s="8"/>
      <c r="C7" s="8"/>
      <c r="D7" s="212"/>
      <c r="E7" s="8"/>
      <c r="F7" s="8"/>
      <c r="G7" s="34"/>
    </row>
    <row r="8" spans="1:7">
      <c r="A8" s="364"/>
      <c r="B8" s="8"/>
      <c r="C8" s="8"/>
      <c r="D8" s="212"/>
      <c r="E8" s="8"/>
      <c r="F8" s="8"/>
      <c r="G8" s="34"/>
    </row>
    <row r="9" spans="1:7">
      <c r="A9" s="364"/>
      <c r="B9" s="367" t="s">
        <v>873</v>
      </c>
      <c r="C9" s="367"/>
      <c r="D9" s="367"/>
      <c r="E9" s="367"/>
      <c r="F9" s="367"/>
      <c r="G9" s="34"/>
    </row>
    <row r="10" spans="1:7" ht="27" customHeight="1">
      <c r="A10" s="364"/>
      <c r="B10" s="368" t="s">
        <v>448</v>
      </c>
      <c r="C10" s="368"/>
      <c r="D10" s="368"/>
      <c r="E10" s="368"/>
      <c r="F10" s="368"/>
      <c r="G10" s="34"/>
    </row>
    <row r="11" spans="1:7" ht="27" customHeight="1">
      <c r="A11" s="364"/>
      <c r="B11" s="369"/>
      <c r="C11" s="369"/>
      <c r="D11" s="369"/>
      <c r="E11" s="369"/>
      <c r="F11" s="369"/>
      <c r="G11" s="34"/>
    </row>
    <row r="12" spans="1:7">
      <c r="A12" s="364"/>
      <c r="B12" s="42" t="s">
        <v>871</v>
      </c>
      <c r="C12" s="43" t="s">
        <v>874</v>
      </c>
      <c r="D12" s="213" t="s">
        <v>875</v>
      </c>
      <c r="E12" s="43" t="s">
        <v>628</v>
      </c>
      <c r="F12" s="43" t="s">
        <v>629</v>
      </c>
      <c r="G12" s="34"/>
    </row>
    <row r="13" spans="1:7" ht="33.75">
      <c r="A13" s="364"/>
      <c r="B13" s="2">
        <v>1</v>
      </c>
      <c r="C13" s="37" t="s">
        <v>1111</v>
      </c>
      <c r="D13" s="39" t="s">
        <v>899</v>
      </c>
      <c r="E13" s="196" t="s">
        <v>876</v>
      </c>
      <c r="F13" s="196"/>
      <c r="G13" s="34"/>
    </row>
    <row r="14" spans="1:7" ht="33.75">
      <c r="A14" s="364"/>
      <c r="B14" s="2">
        <v>2</v>
      </c>
      <c r="C14" s="37" t="s">
        <v>1111</v>
      </c>
      <c r="D14" s="39" t="s">
        <v>1048</v>
      </c>
      <c r="E14" s="196" t="s">
        <v>540</v>
      </c>
      <c r="F14" s="196" t="s">
        <v>541</v>
      </c>
      <c r="G14" s="34"/>
    </row>
    <row r="15" spans="1:7" ht="89.1" customHeight="1">
      <c r="A15" s="364"/>
      <c r="B15" s="349">
        <v>2.0099999999999998</v>
      </c>
      <c r="C15" s="361" t="s">
        <v>1111</v>
      </c>
      <c r="D15" s="370" t="s">
        <v>2358</v>
      </c>
      <c r="E15" s="197" t="s">
        <v>630</v>
      </c>
      <c r="F15" s="197" t="s">
        <v>633</v>
      </c>
      <c r="G15" s="34"/>
    </row>
    <row r="16" spans="1:7" ht="99" customHeight="1">
      <c r="A16" s="364"/>
      <c r="B16" s="350"/>
      <c r="C16" s="362"/>
      <c r="D16" s="371"/>
      <c r="E16" s="198"/>
      <c r="F16" s="198" t="s">
        <v>631</v>
      </c>
      <c r="G16" s="34"/>
    </row>
    <row r="17" spans="1:7" ht="63" customHeight="1">
      <c r="A17" s="364"/>
      <c r="B17" s="351"/>
      <c r="C17" s="363"/>
      <c r="D17" s="372"/>
      <c r="E17" s="37"/>
      <c r="F17" s="37" t="s">
        <v>632</v>
      </c>
      <c r="G17" s="34"/>
    </row>
    <row r="18" spans="1:7" ht="117" customHeight="1">
      <c r="A18" s="364"/>
      <c r="B18" s="349">
        <v>2.02</v>
      </c>
      <c r="C18" s="361" t="s">
        <v>1111</v>
      </c>
      <c r="D18" s="370" t="s">
        <v>2359</v>
      </c>
      <c r="E18" s="197" t="s">
        <v>449</v>
      </c>
      <c r="F18" s="197" t="s">
        <v>535</v>
      </c>
      <c r="G18" s="34"/>
    </row>
    <row r="19" spans="1:7" ht="71.099999999999994" customHeight="1">
      <c r="A19" s="364"/>
      <c r="B19" s="350"/>
      <c r="C19" s="362"/>
      <c r="D19" s="371"/>
      <c r="E19" s="198" t="s">
        <v>539</v>
      </c>
      <c r="F19" s="198" t="s">
        <v>450</v>
      </c>
      <c r="G19" s="34"/>
    </row>
    <row r="20" spans="1:7" ht="90.75" customHeight="1">
      <c r="A20" s="364"/>
      <c r="B20" s="350"/>
      <c r="C20" s="362"/>
      <c r="D20" s="371"/>
      <c r="E20" s="198"/>
      <c r="F20" s="198" t="s">
        <v>635</v>
      </c>
      <c r="G20" s="34"/>
    </row>
    <row r="21" spans="1:7" ht="74.25" customHeight="1">
      <c r="A21" s="364"/>
      <c r="B21" s="351"/>
      <c r="C21" s="363"/>
      <c r="D21" s="372"/>
      <c r="E21" s="37"/>
      <c r="F21" s="37" t="s">
        <v>634</v>
      </c>
      <c r="G21" s="34"/>
    </row>
    <row r="22" spans="1:7" ht="90" customHeight="1">
      <c r="A22" s="364"/>
      <c r="B22" s="355">
        <v>2.0299999999999998</v>
      </c>
      <c r="C22" s="355" t="s">
        <v>845</v>
      </c>
      <c r="D22" s="358" t="s">
        <v>2360</v>
      </c>
      <c r="E22" s="361" t="s">
        <v>447</v>
      </c>
      <c r="F22" s="197" t="s">
        <v>470</v>
      </c>
      <c r="G22" s="34"/>
    </row>
    <row r="23" spans="1:7" ht="109.5" customHeight="1">
      <c r="A23" s="364"/>
      <c r="B23" s="356"/>
      <c r="C23" s="356"/>
      <c r="D23" s="359"/>
      <c r="E23" s="362"/>
      <c r="F23" s="198" t="s">
        <v>846</v>
      </c>
      <c r="G23" s="34"/>
    </row>
    <row r="24" spans="1:7" ht="74.25" customHeight="1">
      <c r="A24" s="364"/>
      <c r="B24" s="357"/>
      <c r="C24" s="357"/>
      <c r="D24" s="360"/>
      <c r="E24" s="363"/>
      <c r="F24" s="37" t="s">
        <v>446</v>
      </c>
      <c r="G24" s="34"/>
    </row>
    <row r="25" spans="1:7" ht="72" customHeight="1">
      <c r="A25" s="364"/>
      <c r="B25" s="2" t="s">
        <v>468</v>
      </c>
      <c r="C25" s="37" t="s">
        <v>469</v>
      </c>
      <c r="D25" s="39" t="s">
        <v>2361</v>
      </c>
      <c r="E25" s="37" t="s">
        <v>2356</v>
      </c>
      <c r="F25" s="37" t="s">
        <v>471</v>
      </c>
      <c r="G25" s="34"/>
    </row>
    <row r="26" spans="1:7" ht="98.1" customHeight="1">
      <c r="A26" s="364"/>
      <c r="B26" s="352">
        <v>3</v>
      </c>
      <c r="C26" s="349" t="s">
        <v>72</v>
      </c>
      <c r="D26" s="370" t="s">
        <v>2362</v>
      </c>
      <c r="E26" s="361" t="s">
        <v>0</v>
      </c>
      <c r="F26" s="197" t="s">
        <v>66</v>
      </c>
      <c r="G26" s="34"/>
    </row>
    <row r="27" spans="1:7" ht="90" customHeight="1">
      <c r="A27" s="364"/>
      <c r="B27" s="353"/>
      <c r="C27" s="350"/>
      <c r="D27" s="371"/>
      <c r="E27" s="362"/>
      <c r="F27" s="198" t="s">
        <v>61</v>
      </c>
      <c r="G27" s="34"/>
    </row>
    <row r="28" spans="1:7" ht="19.350000000000001" customHeight="1">
      <c r="A28" s="364"/>
      <c r="B28" s="353"/>
      <c r="C28" s="350"/>
      <c r="D28" s="371"/>
      <c r="E28" s="362"/>
      <c r="F28" s="198" t="s">
        <v>62</v>
      </c>
      <c r="G28" s="34"/>
    </row>
    <row r="29" spans="1:7" ht="74.45" customHeight="1">
      <c r="A29" s="364"/>
      <c r="B29" s="353"/>
      <c r="C29" s="350"/>
      <c r="D29" s="371"/>
      <c r="E29" s="362"/>
      <c r="F29" s="198" t="s">
        <v>63</v>
      </c>
      <c r="G29" s="34"/>
    </row>
    <row r="30" spans="1:7" ht="62.45" customHeight="1">
      <c r="A30" s="364"/>
      <c r="B30" s="353"/>
      <c r="C30" s="350"/>
      <c r="D30" s="371"/>
      <c r="E30" s="362"/>
      <c r="F30" s="198" t="s">
        <v>64</v>
      </c>
      <c r="G30" s="34"/>
    </row>
    <row r="31" spans="1:7" ht="81" customHeight="1">
      <c r="A31" s="364"/>
      <c r="B31" s="353"/>
      <c r="C31" s="350"/>
      <c r="D31" s="371"/>
      <c r="E31" s="362"/>
      <c r="F31" s="198" t="s">
        <v>65</v>
      </c>
      <c r="G31" s="34"/>
    </row>
    <row r="32" spans="1:7" ht="48.75" customHeight="1">
      <c r="A32" s="364"/>
      <c r="B32" s="353"/>
      <c r="C32" s="350"/>
      <c r="D32" s="371"/>
      <c r="E32" s="362"/>
      <c r="F32" s="198" t="s">
        <v>68</v>
      </c>
      <c r="G32" s="34"/>
    </row>
    <row r="33" spans="1:7" ht="98.45" customHeight="1">
      <c r="A33" s="364"/>
      <c r="B33" s="353"/>
      <c r="C33" s="350"/>
      <c r="D33" s="371"/>
      <c r="E33" s="362"/>
      <c r="F33" s="198" t="s">
        <v>67</v>
      </c>
      <c r="G33" s="34"/>
    </row>
    <row r="34" spans="1:7" ht="89.1" customHeight="1">
      <c r="A34" s="364"/>
      <c r="B34" s="353"/>
      <c r="C34" s="350"/>
      <c r="D34" s="371"/>
      <c r="E34" s="362"/>
      <c r="F34" s="198" t="s">
        <v>69</v>
      </c>
      <c r="G34" s="34"/>
    </row>
    <row r="35" spans="1:7" ht="29.1" customHeight="1">
      <c r="A35" s="364"/>
      <c r="B35" s="353"/>
      <c r="C35" s="350"/>
      <c r="D35" s="371"/>
      <c r="E35" s="362"/>
      <c r="F35" s="198" t="s">
        <v>70</v>
      </c>
      <c r="G35" s="34"/>
    </row>
    <row r="36" spans="1:7" ht="126.75">
      <c r="A36" s="364"/>
      <c r="B36" s="354"/>
      <c r="C36" s="351"/>
      <c r="D36" s="372"/>
      <c r="E36" s="363"/>
      <c r="F36" s="199" t="s">
        <v>71</v>
      </c>
      <c r="G36" s="34"/>
    </row>
    <row r="37" spans="1:7" ht="112.5">
      <c r="A37" s="364"/>
      <c r="B37" s="171">
        <v>3.01</v>
      </c>
      <c r="C37" s="172" t="s">
        <v>72</v>
      </c>
      <c r="D37" s="39" t="s">
        <v>2363</v>
      </c>
      <c r="E37" s="200" t="s">
        <v>1351</v>
      </c>
      <c r="F37" s="201" t="s">
        <v>1457</v>
      </c>
      <c r="G37" s="34"/>
    </row>
    <row r="38" spans="1:7" ht="101.25">
      <c r="A38" s="364"/>
      <c r="B38" s="171">
        <v>3.02</v>
      </c>
      <c r="C38" s="172" t="s">
        <v>1384</v>
      </c>
      <c r="D38" s="39" t="s">
        <v>2364</v>
      </c>
      <c r="E38" s="200" t="s">
        <v>1399</v>
      </c>
      <c r="F38" s="201" t="s">
        <v>1458</v>
      </c>
      <c r="G38" s="34"/>
    </row>
    <row r="39" spans="1:7" ht="101.25">
      <c r="A39" s="364"/>
      <c r="B39" s="182">
        <v>4</v>
      </c>
      <c r="C39" s="181" t="s">
        <v>1554</v>
      </c>
      <c r="D39" s="39" t="s">
        <v>2365</v>
      </c>
      <c r="E39" s="37" t="s">
        <v>2307</v>
      </c>
      <c r="F39" s="37" t="s">
        <v>1555</v>
      </c>
      <c r="G39" s="34"/>
    </row>
    <row r="40" spans="1:7" ht="56.25">
      <c r="A40" s="364"/>
      <c r="B40" s="171">
        <v>4.01</v>
      </c>
      <c r="C40" s="181" t="s">
        <v>1554</v>
      </c>
      <c r="D40" s="39" t="s">
        <v>2367</v>
      </c>
      <c r="E40" s="37" t="s">
        <v>2321</v>
      </c>
      <c r="F40" s="37" t="s">
        <v>2326</v>
      </c>
      <c r="G40" s="34"/>
    </row>
    <row r="41" spans="1:7" ht="56.25">
      <c r="A41" s="364"/>
      <c r="B41" s="171" t="s">
        <v>2354</v>
      </c>
      <c r="C41" s="181" t="s">
        <v>1554</v>
      </c>
      <c r="D41" s="39" t="s">
        <v>2366</v>
      </c>
      <c r="E41" s="37" t="s">
        <v>2357</v>
      </c>
      <c r="F41" s="37" t="s">
        <v>2355</v>
      </c>
      <c r="G41" s="34"/>
    </row>
    <row r="42" spans="1:7" ht="56.25">
      <c r="A42" s="364"/>
      <c r="B42" s="171" t="s">
        <v>2399</v>
      </c>
      <c r="C42" s="181" t="s">
        <v>1554</v>
      </c>
      <c r="D42" s="39" t="s">
        <v>2406</v>
      </c>
      <c r="E42" s="37" t="s">
        <v>2356</v>
      </c>
      <c r="F42" s="37" t="s">
        <v>2400</v>
      </c>
      <c r="G42" s="34"/>
    </row>
    <row r="43" spans="1:7" ht="123.75">
      <c r="A43" s="364"/>
      <c r="B43" s="193">
        <v>4.0999999999999996</v>
      </c>
      <c r="C43" s="181" t="s">
        <v>2405</v>
      </c>
      <c r="D43" s="194">
        <v>42867</v>
      </c>
      <c r="E43" s="202" t="s">
        <v>2408</v>
      </c>
      <c r="F43" s="37" t="s">
        <v>2407</v>
      </c>
      <c r="G43" s="34"/>
    </row>
    <row r="44" spans="1:7" ht="78.75">
      <c r="A44" s="364"/>
      <c r="B44" s="193">
        <v>4.2</v>
      </c>
      <c r="C44" s="181" t="s">
        <v>2405</v>
      </c>
      <c r="D44" s="194">
        <v>42704</v>
      </c>
      <c r="E44" s="202" t="s">
        <v>2625</v>
      </c>
      <c r="F44" s="37" t="s">
        <v>2598</v>
      </c>
      <c r="G44" s="34"/>
    </row>
    <row r="45" spans="1:7" ht="157.5">
      <c r="A45" s="364"/>
      <c r="B45" s="243">
        <v>5</v>
      </c>
      <c r="C45" s="181" t="s">
        <v>2405</v>
      </c>
      <c r="D45" s="194">
        <v>42867</v>
      </c>
      <c r="E45" s="202" t="s">
        <v>13032</v>
      </c>
      <c r="F45" s="37" t="s">
        <v>12754</v>
      </c>
      <c r="G45" s="34"/>
    </row>
    <row r="46" spans="1:7" ht="45">
      <c r="A46" s="364"/>
      <c r="B46" s="193">
        <v>5.01</v>
      </c>
      <c r="C46" s="181" t="s">
        <v>2405</v>
      </c>
      <c r="D46" s="194">
        <v>42907</v>
      </c>
      <c r="E46" s="202" t="s">
        <v>13052</v>
      </c>
      <c r="F46" s="37" t="s">
        <v>12754</v>
      </c>
      <c r="G46" s="34"/>
    </row>
    <row r="47" spans="1:7" ht="67.5">
      <c r="A47" s="364"/>
      <c r="B47" s="193">
        <v>5.0999999999999996</v>
      </c>
      <c r="C47" s="181" t="s">
        <v>2405</v>
      </c>
      <c r="D47" s="194">
        <v>43070</v>
      </c>
      <c r="E47" s="202" t="s">
        <v>13247</v>
      </c>
      <c r="F47" s="37" t="s">
        <v>13248</v>
      </c>
      <c r="G47" s="34"/>
    </row>
    <row r="48" spans="1:7" ht="56.25">
      <c r="A48" s="364"/>
      <c r="B48" s="193">
        <v>5.1100000000000003</v>
      </c>
      <c r="C48" s="181" t="s">
        <v>13489</v>
      </c>
      <c r="D48" s="194">
        <v>43217</v>
      </c>
      <c r="E48" s="202" t="s">
        <v>13617</v>
      </c>
      <c r="F48" s="37" t="s">
        <v>13523</v>
      </c>
      <c r="G48" s="34"/>
    </row>
    <row r="49" spans="1:7" ht="56.25">
      <c r="A49" s="364"/>
      <c r="B49" s="193">
        <v>5.12</v>
      </c>
      <c r="C49" s="181" t="s">
        <v>13489</v>
      </c>
      <c r="D49" s="194">
        <v>43581</v>
      </c>
      <c r="E49" s="202" t="s">
        <v>13617</v>
      </c>
      <c r="F49" s="37" t="s">
        <v>14191</v>
      </c>
      <c r="G49" s="34"/>
    </row>
    <row r="50" spans="1:7" ht="78.75">
      <c r="A50" s="364"/>
      <c r="B50" s="243">
        <v>6</v>
      </c>
      <c r="C50" s="181" t="s">
        <v>13489</v>
      </c>
      <c r="D50" s="194">
        <v>43964</v>
      </c>
      <c r="E50" s="202" t="s">
        <v>14433</v>
      </c>
      <c r="F50" s="37" t="s">
        <v>14204</v>
      </c>
      <c r="G50" s="34"/>
    </row>
    <row r="51" spans="1:7" ht="45">
      <c r="A51" s="364"/>
      <c r="B51" s="193">
        <v>6.01</v>
      </c>
      <c r="C51" s="181" t="s">
        <v>13489</v>
      </c>
      <c r="D51" s="194">
        <v>43970</v>
      </c>
      <c r="E51" s="202" t="s">
        <v>15503</v>
      </c>
      <c r="F51" s="202" t="s">
        <v>14204</v>
      </c>
      <c r="G51" s="34"/>
    </row>
    <row r="52" spans="1:7" ht="13.5" thickBot="1">
      <c r="A52" s="365"/>
      <c r="B52" s="366" t="str">
        <f ca="1">OFFSET(L!$C$1,MATCH("General"&amp;"Cpy",L!$A:$A,0)-1,SL,,)</f>
        <v>© 2020 Responsible Minerals Initiative. All rights reserved.</v>
      </c>
      <c r="C52" s="366"/>
      <c r="D52" s="366"/>
      <c r="E52" s="366"/>
      <c r="F52" s="36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7"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7"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7"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64"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6"/>
      <c r="G3" s="426"/>
      <c r="H3" s="426"/>
      <c r="I3" s="184"/>
      <c r="J3" s="168" t="s">
        <v>15505</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15506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6.5">
      <c r="A9" s="49"/>
      <c r="B9" s="86" t="str">
        <f ca="1">OFFSET(L!$C$1,MATCH("Declaration"&amp;ADDRESS(ROW(),COLUMN(),4),L!$A:$A,0)-1,SL,,)</f>
        <v>Declaration Scope or Class (*):</v>
      </c>
      <c r="C9" s="89"/>
      <c r="D9" s="428" t="s">
        <v>504</v>
      </c>
      <c r="E9" s="429"/>
      <c r="F9" s="429"/>
      <c r="G9" s="430"/>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5">
      <c r="A11" s="49"/>
      <c r="B11" s="433"/>
      <c r="C11" s="151"/>
      <c r="D11" s="394" t="str">
        <f ca="1">IF(D9=Q9,OFFSET(L!$C$1,MATCH("Declaration"&amp;ADDRESS(ROW(),COLUMN(),4),L!$A:$A,0)-1,SL,,),"")</f>
        <v/>
      </c>
      <c r="E11" s="395"/>
      <c r="F11" s="395"/>
      <c r="G11" s="395"/>
      <c r="H11" s="395"/>
      <c r="I11" s="395"/>
      <c r="J11" s="39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3"/>
      <c r="E12" s="404"/>
      <c r="F12" s="404"/>
      <c r="G12" s="404"/>
      <c r="H12" s="404"/>
      <c r="I12" s="404"/>
      <c r="J12" s="40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3"/>
      <c r="E13" s="404"/>
      <c r="F13" s="404"/>
      <c r="G13" s="404"/>
      <c r="H13" s="404"/>
      <c r="I13" s="404"/>
      <c r="J13" s="40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6" t="s">
        <v>15507</v>
      </c>
      <c r="E14" s="407"/>
      <c r="F14" s="407"/>
      <c r="G14" s="407"/>
      <c r="H14" s="407"/>
      <c r="I14" s="407"/>
      <c r="J14" s="40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6" t="s">
        <v>15508</v>
      </c>
      <c r="E15" s="407"/>
      <c r="F15" s="407"/>
      <c r="G15" s="407"/>
      <c r="H15" s="407"/>
      <c r="I15" s="407"/>
      <c r="J15" s="40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5">
      <c r="A16" s="49"/>
      <c r="B16" s="51" t="str">
        <f ca="1">OFFSET(L!$C$1,MATCH("Declaration"&amp;ADDRESS(ROW(),COLUMN(),4),L!$A:$A,0)-1,SL,,)</f>
        <v>Email – Contact (*):</v>
      </c>
      <c r="C16" s="90"/>
      <c r="D16" s="434" t="s">
        <v>15509</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6" t="s">
        <v>15510</v>
      </c>
      <c r="E17" s="407"/>
      <c r="F17" s="407"/>
      <c r="G17" s="407"/>
      <c r="H17" s="407"/>
      <c r="I17" s="407"/>
      <c r="J17" s="40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6" t="s">
        <v>15508</v>
      </c>
      <c r="E18" s="407"/>
      <c r="F18" s="407"/>
      <c r="G18" s="407"/>
      <c r="H18" s="407"/>
      <c r="I18" s="407"/>
      <c r="J18" s="40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6" t="s">
        <v>15508</v>
      </c>
      <c r="E19" s="407"/>
      <c r="F19" s="407"/>
      <c r="G19" s="407"/>
      <c r="H19" s="407"/>
      <c r="I19" s="407"/>
      <c r="J19" s="40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15509</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6" t="s">
        <v>15511</v>
      </c>
      <c r="E21" s="407"/>
      <c r="F21" s="407"/>
      <c r="G21" s="407"/>
      <c r="H21" s="407"/>
      <c r="I21" s="407"/>
      <c r="J21" s="40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43991</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9"/>
      <c r="E23" s="40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498</v>
      </c>
      <c r="E28" s="380"/>
      <c r="F28" s="15"/>
      <c r="G28" s="381"/>
      <c r="H28" s="382"/>
      <c r="I28" s="382"/>
      <c r="J28" s="38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498</v>
      </c>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499</v>
      </c>
      <c r="E39" s="380"/>
      <c r="F39" s="58"/>
      <c r="G39" s="381"/>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499</v>
      </c>
      <c r="E40" s="380"/>
      <c r="F40" s="58"/>
      <c r="G40" s="381"/>
      <c r="H40" s="382"/>
      <c r="I40" s="382"/>
      <c r="J40" s="38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9" t="str">
        <f ca="1">D25</f>
        <v>Answer</v>
      </c>
      <c r="E43" s="399"/>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499</v>
      </c>
      <c r="E45" s="380"/>
      <c r="F45" s="58"/>
      <c r="G45" s="381"/>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9" t="s">
        <v>499</v>
      </c>
      <c r="E46" s="380"/>
      <c r="F46" s="58"/>
      <c r="G46" s="381"/>
      <c r="H46" s="382"/>
      <c r="I46" s="382"/>
      <c r="J46" s="38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9" t="s">
        <v>498</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9" t="s">
        <v>498</v>
      </c>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9" t="str">
        <f ca="1">D25</f>
        <v>Answer</v>
      </c>
      <c r="E55" s="399"/>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0"/>
      <c r="E56" s="401"/>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0">
        <v>1</v>
      </c>
      <c r="E57" s="401"/>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0">
        <v>1</v>
      </c>
      <c r="E58" s="401"/>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0"/>
      <c r="E59" s="401"/>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9" t="str">
        <f ca="1">D25</f>
        <v>Answer</v>
      </c>
      <c r="E61" s="399"/>
      <c r="F61" s="21"/>
      <c r="G61" s="55" t="str">
        <f ca="1">G25</f>
        <v>Comments</v>
      </c>
      <c r="H61" s="392"/>
      <c r="I61" s="392"/>
      <c r="J61" s="39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7"/>
      <c r="E62" s="398"/>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9" t="s">
        <v>498</v>
      </c>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9" t="str">
        <f ca="1">D25</f>
        <v>Answer</v>
      </c>
      <c r="E67" s="399"/>
      <c r="F67" s="21"/>
      <c r="G67" s="55" t="str">
        <f ca="1">G25</f>
        <v>Comments</v>
      </c>
      <c r="H67" s="392" t="str">
        <f>IF(Q75="(*)","Click here to enter smelter names","")</f>
        <v/>
      </c>
      <c r="I67" s="392"/>
      <c r="J67" s="39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9" t="s">
        <v>498</v>
      </c>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4" t="str">
        <f ca="1">OFFSET(L!$C$1,MATCH("Declaration"&amp;ADDRESS(ROW(),COLUMN(),4),L!$A:$A,0)-1,SL,,)</f>
        <v>Answer the Following Questions at a Company Level</v>
      </c>
      <c r="C73" s="384"/>
      <c r="D73" s="384"/>
      <c r="E73" s="384"/>
      <c r="F73" s="384"/>
      <c r="G73" s="384"/>
      <c r="H73" s="384"/>
      <c r="I73" s="384"/>
      <c r="J73" s="38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3" t="str">
        <f ca="1">D25</f>
        <v>Answer</v>
      </c>
      <c r="E74" s="393"/>
      <c r="F74" s="64"/>
      <c r="G74" s="393" t="str">
        <f ca="1">G25</f>
        <v>Comments</v>
      </c>
      <c r="H74" s="393" t="e">
        <f>HLOOKUP(SL,LT,$O74,0)</f>
        <v>#NAME?</v>
      </c>
      <c r="I74" s="39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0"/>
      <c r="H76" s="390"/>
      <c r="I76" s="390"/>
      <c r="J76" s="39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410" t="s">
        <v>15512</v>
      </c>
      <c r="H77" s="411"/>
      <c r="I77" s="411"/>
      <c r="J77" s="412"/>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499</v>
      </c>
      <c r="E79" s="380"/>
      <c r="F79" s="68"/>
      <c r="G79" s="381" t="s">
        <v>15514</v>
      </c>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12721</v>
      </c>
      <c r="E83" s="380"/>
      <c r="F83" s="68"/>
      <c r="G83" s="381" t="s">
        <v>15513</v>
      </c>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8" t="s">
        <v>498</v>
      </c>
      <c r="E85" s="389"/>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0"/>
      <c r="H86" s="390"/>
      <c r="I86" s="390"/>
      <c r="J86" s="39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1"/>
      <c r="H88" s="391"/>
      <c r="I88" s="391"/>
      <c r="J88" s="39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7" t="str">
        <f>IF(OR($D$8="",$I$3=""),"","Click here to check required fields completion")</f>
        <v/>
      </c>
      <c r="C90" s="387"/>
      <c r="D90" s="387"/>
      <c r="E90" s="387"/>
      <c r="F90" s="387"/>
      <c r="G90" s="387"/>
      <c r="H90" s="387"/>
      <c r="I90" s="387"/>
      <c r="J90" s="38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5" t="str">
        <f ca="1">OFFSET(L!$C$1,MATCH("General"&amp;"Cpy",L!$A:$A,0)-1,SL,,)</f>
        <v>© 2020 Responsible Minerals Initiative. All rights reserved.</v>
      </c>
      <c r="B91" s="386"/>
      <c r="C91" s="386"/>
      <c r="D91" s="386"/>
      <c r="E91" s="386"/>
      <c r="F91" s="386"/>
      <c r="G91" s="386"/>
      <c r="H91" s="386"/>
      <c r="I91" s="386"/>
      <c r="J91" s="38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7" type="noConversion"/>
  <conditionalFormatting sqref="D75:E75 D77:E77 D79:E79 D81:E81 D85:E85 D87:E87 D89:E89 D83">
    <cfRule type="expression" dxfId="102" priority="70" stopIfTrue="1">
      <formula>AND(OR($D$26="No",AND($D$26="Yes",$D$32="No")),OR($D$27="No",AND($D$27="Yes",$D$33="No")),OR($D$28="No",AND($D$28="Yes",$D$34="No")),OR($D$29="No",AND($D$29="Yes",$D$35="No")))</formula>
    </cfRule>
    <cfRule type="expression" dxfId="101" priority="71" stopIfTrue="1">
      <formula>IF(D75="",TRUE)</formula>
    </cfRule>
  </conditionalFormatting>
  <conditionalFormatting sqref="G77:J77">
    <cfRule type="expression" dxfId="100" priority="42" stopIfTrue="1">
      <formula>IF(AND($D$77="Yes",$G$77=""),TRUE)</formula>
    </cfRule>
  </conditionalFormatting>
  <conditionalFormatting sqref="D26:E26">
    <cfRule type="expression" dxfId="99" priority="122" stopIfTrue="1">
      <formula>IF($D$26="",TRUE)</formula>
    </cfRule>
  </conditionalFormatting>
  <conditionalFormatting sqref="D27:E27">
    <cfRule type="expression" dxfId="98" priority="129" stopIfTrue="1">
      <formula>IF($D$27="",TRUE)</formula>
    </cfRule>
  </conditionalFormatting>
  <conditionalFormatting sqref="D28:E28">
    <cfRule type="expression" dxfId="97" priority="130" stopIfTrue="1">
      <formula>IF($D$28="",TRUE)</formula>
    </cfRule>
  </conditionalFormatting>
  <conditionalFormatting sqref="D29:E29">
    <cfRule type="expression" dxfId="96" priority="131" stopIfTrue="1">
      <formula>IF($D$29="",TRUE)</formula>
    </cfRule>
  </conditionalFormatting>
  <conditionalFormatting sqref="D9:G9">
    <cfRule type="expression" dxfId="95" priority="137" stopIfTrue="1">
      <formula>IF($D$9="",TRUE)</formula>
    </cfRule>
  </conditionalFormatting>
  <conditionalFormatting sqref="D22:E22">
    <cfRule type="expression" dxfId="94" priority="144" stopIfTrue="1">
      <formula>IF($D$22="",TRUE)</formula>
    </cfRule>
  </conditionalFormatting>
  <conditionalFormatting sqref="D10:J10">
    <cfRule type="expression" dxfId="93" priority="41" stopIfTrue="1">
      <formula>IF($D$9=$Q$9,TRUE)</formula>
    </cfRule>
    <cfRule type="expression" dxfId="92" priority="151" stopIfTrue="1">
      <formula>IF(AND($D$10="",$D$9=$R$9),TRUE)</formula>
    </cfRule>
  </conditionalFormatting>
  <conditionalFormatting sqref="D34:E34 D40:E40 D52:E52 D58:E58 D64:E64 D70:E70">
    <cfRule type="expression" dxfId="91" priority="34" stopIfTrue="1">
      <formula>$P$28=""</formula>
    </cfRule>
  </conditionalFormatting>
  <conditionalFormatting sqref="D35:E35 D41:E41 D53:E53 D59:E59 D65:E65 D71:E71">
    <cfRule type="expression" dxfId="90" priority="149" stopIfTrue="1">
      <formula>$P$29=""</formula>
    </cfRule>
  </conditionalFormatting>
  <conditionalFormatting sqref="D32:E32">
    <cfRule type="expression" dxfId="89" priority="127" stopIfTrue="1">
      <formula>$P$26=""</formula>
    </cfRule>
  </conditionalFormatting>
  <conditionalFormatting sqref="D32:E32">
    <cfRule type="expression" dxfId="88" priority="40" stopIfTrue="1">
      <formula>IF(AND(OR($D$26="Yes",$D$26=""),$D$32=""),1,0)</formula>
    </cfRule>
  </conditionalFormatting>
  <conditionalFormatting sqref="D38 D50 D56 D62 D68">
    <cfRule type="expression" dxfId="87" priority="36" stopIfTrue="1">
      <formula>$P$32=""</formula>
    </cfRule>
  </conditionalFormatting>
  <conditionalFormatting sqref="D39:E39 D51 D57 D63 D69">
    <cfRule type="expression" dxfId="86" priority="35" stopIfTrue="1">
      <formula>$P$33=""</formula>
    </cfRule>
  </conditionalFormatting>
  <conditionalFormatting sqref="D40 D52 D58 D64 D70">
    <cfRule type="expression" dxfId="85" priority="25" stopIfTrue="1">
      <formula>$P$34=""</formula>
    </cfRule>
    <cfRule type="expression" dxfId="84" priority="147" stopIfTrue="1">
      <formula>IF(AND(OR($D$28="Yes",$D$28=""),D40=""),1,0)</formula>
    </cfRule>
  </conditionalFormatting>
  <conditionalFormatting sqref="D41 D53 D59 D65 D71">
    <cfRule type="expression" dxfId="83" priority="33" stopIfTrue="1">
      <formula>$P$35=""</formula>
    </cfRule>
  </conditionalFormatting>
  <conditionalFormatting sqref="D38:E38 D50:E50 D56:E56 D62:E62 D68:E68">
    <cfRule type="expression" dxfId="82" priority="38" stopIfTrue="1">
      <formula>$P$26=""</formula>
    </cfRule>
    <cfRule type="expression" dxfId="81" priority="39" stopIfTrue="1">
      <formula>IF(AND(OR($D$26="Yes",$D$26=""),D38=""),1,0)</formula>
    </cfRule>
  </conditionalFormatting>
  <conditionalFormatting sqref="G85:J85">
    <cfRule type="expression" dxfId="80" priority="32" stopIfTrue="1">
      <formula>IF(AND($D$85="Yes, using other format (describe)",$G$85=""),TRUE)</formula>
    </cfRule>
  </conditionalFormatting>
  <conditionalFormatting sqref="D39:E39 D51:E51 D57:E57 D63:E63 D69:E69">
    <cfRule type="expression" dxfId="79" priority="145" stopIfTrue="1">
      <formula>$P$39=""</formula>
    </cfRule>
    <cfRule type="expression" dxfId="78" priority="146" stopIfTrue="1">
      <formula>IF(AND(OR($D$27="Yes",$D$27=""),D39=""),1,0)</formula>
    </cfRule>
  </conditionalFormatting>
  <conditionalFormatting sqref="D33:E33">
    <cfRule type="expression" dxfId="77" priority="27" stopIfTrue="1">
      <formula>IF(AND(OR($D$27="Yes",$D$27=""),$D$33=""),1,0)</formula>
    </cfRule>
    <cfRule type="expression" dxfId="76" priority="28" stopIfTrue="1">
      <formula>$P$27=""</formula>
    </cfRule>
  </conditionalFormatting>
  <conditionalFormatting sqref="D34:E34">
    <cfRule type="expression" dxfId="75" priority="148" stopIfTrue="1">
      <formula>IF(AND(OR($D$28="Yes",$D$28=""),$D$34=""),1,0)</formula>
    </cfRule>
  </conditionalFormatting>
  <conditionalFormatting sqref="D41:E41 D53:E53 D59:E59 D65:E65 D71:E71">
    <cfRule type="expression" dxfId="74" priority="150" stopIfTrue="1">
      <formula>IF(AND(OR($D$29="Yes",$D$29=""),D41=""),1,0)</formula>
    </cfRule>
  </conditionalFormatting>
  <conditionalFormatting sqref="D35:E35">
    <cfRule type="expression" dxfId="73" priority="24" stopIfTrue="1">
      <formula>IF(AND(OR($D$29="Yes",$D$29=""),$D$35=""),1,0)</formula>
    </cfRule>
  </conditionalFormatting>
  <conditionalFormatting sqref="D46:E46">
    <cfRule type="expression" dxfId="72" priority="10" stopIfTrue="1">
      <formula>$P$28=""</formula>
    </cfRule>
  </conditionalFormatting>
  <conditionalFormatting sqref="D47:E47">
    <cfRule type="expression" dxfId="71" priority="18" stopIfTrue="1">
      <formula>$P$29=""</formula>
    </cfRule>
  </conditionalFormatting>
  <conditionalFormatting sqref="D44">
    <cfRule type="expression" dxfId="70" priority="12" stopIfTrue="1">
      <formula>$P$32=""</formula>
    </cfRule>
  </conditionalFormatting>
  <conditionalFormatting sqref="D45">
    <cfRule type="expression" dxfId="69" priority="11" stopIfTrue="1">
      <formula>$P$33=""</formula>
    </cfRule>
  </conditionalFormatting>
  <conditionalFormatting sqref="D46">
    <cfRule type="expression" dxfId="68" priority="8" stopIfTrue="1">
      <formula>$P$34=""</formula>
    </cfRule>
    <cfRule type="expression" dxfId="67" priority="17" stopIfTrue="1">
      <formula>IF(AND(OR($D$28="Yes",$D$28=""),D46=""),1,0)</formula>
    </cfRule>
  </conditionalFormatting>
  <conditionalFormatting sqref="D47">
    <cfRule type="expression" dxfId="66" priority="9" stopIfTrue="1">
      <formula>$P$35=""</formula>
    </cfRule>
  </conditionalFormatting>
  <conditionalFormatting sqref="D44:E44">
    <cfRule type="expression" dxfId="65" priority="13" stopIfTrue="1">
      <formula>$P$26=""</formula>
    </cfRule>
    <cfRule type="expression" dxfId="64" priority="14" stopIfTrue="1">
      <formula>IF(AND(OR($D$26="Yes",$D$26=""),D44=""),1,0)</formula>
    </cfRule>
  </conditionalFormatting>
  <conditionalFormatting sqref="D45:E45">
    <cfRule type="expression" dxfId="63" priority="15" stopIfTrue="1">
      <formula>$P$39=""</formula>
    </cfRule>
    <cfRule type="expression" dxfId="62" priority="16" stopIfTrue="1">
      <formula>IF(AND(OR($D$27="Yes",$D$27=""),D45=""),1,0)</formula>
    </cfRule>
  </conditionalFormatting>
  <conditionalFormatting sqref="D47:E47">
    <cfRule type="expression" dxfId="61" priority="19" stopIfTrue="1">
      <formula>IF(AND(OR($D$29="Yes",$D$29=""),D47=""),1,0)</formula>
    </cfRule>
  </conditionalFormatting>
  <conditionalFormatting sqref="D8:J8">
    <cfRule type="expression" dxfId="60" priority="7" stopIfTrue="1">
      <formula>IF($D$8="",TRUE)</formula>
    </cfRule>
  </conditionalFormatting>
  <conditionalFormatting sqref="D15:J15">
    <cfRule type="expression" dxfId="59" priority="3" stopIfTrue="1">
      <formula>IF($D$15="",TRUE)</formula>
    </cfRule>
  </conditionalFormatting>
  <conditionalFormatting sqref="D16:J16">
    <cfRule type="expression" dxfId="58" priority="4" stopIfTrue="1">
      <formula>IF($D$16="",TRUE)</formula>
    </cfRule>
  </conditionalFormatting>
  <conditionalFormatting sqref="D17:J17">
    <cfRule type="expression" dxfId="57" priority="5" stopIfTrue="1">
      <formula>IF($D$17="",TRUE)</formula>
    </cfRule>
  </conditionalFormatting>
  <conditionalFormatting sqref="D18:J18">
    <cfRule type="expression" dxfId="56" priority="6" stopIfTrue="1">
      <formula>IF($D$18="",TRUE)</formula>
    </cfRule>
  </conditionalFormatting>
  <conditionalFormatting sqref="D20:J20">
    <cfRule type="expression" dxfId="55" priority="1" stopIfTrue="1">
      <formula>IF($D$20="",TRUE)</formula>
    </cfRule>
  </conditionalFormatting>
  <conditionalFormatting sqref="D21:J21">
    <cfRule type="expression" dxfId="54" priority="2" stopIfTrue="1">
      <formula>IF($D$21="",TRUE)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PageLayoutView="55" workbookViewId="0">
      <pane ySplit="4" topLeftCell="A5" activePane="bottomLeft" state="frozen"/>
      <selection pane="bottomLeft" activeCell="H6" sqref="H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2262</v>
      </c>
      <c r="D5" s="283"/>
      <c r="E5" s="217" t="str">
        <f ca="1">IF(ISERROR($V5),"",OFFSET('Smelter Look-up'!$D$4,$V5-4,0)&amp;"")</f>
        <v>INDONESIA</v>
      </c>
      <c r="F5" s="348" t="s">
        <v>801</v>
      </c>
      <c r="G5" s="217" t="str">
        <f ca="1">IF(C5=$X$4,"Enter smelter details",IF(ISERROR($V5),"",OFFSET('Smelter Look-up'!$F$4,$V5-4,0)))</f>
        <v>RMI</v>
      </c>
      <c r="H5" s="218">
        <f ca="1">IF(ISERROR($V5),"",OFFSET('Smelter Look-up'!$G$4,$V5-4,0))</f>
        <v>0</v>
      </c>
      <c r="I5" s="219" t="str">
        <f ca="1">IF(ISERROR($V5),"",OFFSET('Smelter Look-up'!$H$4,$V5-4,0))</f>
        <v>Sungailiat</v>
      </c>
      <c r="J5" s="219" t="str">
        <f ca="1">IF(ISERROR($V5),"",OFFSET('Smelter Look-up'!$I$4,$V5-4,0))</f>
        <v>Kepulauan Bangka Belitung</v>
      </c>
      <c r="K5" s="273"/>
      <c r="L5" s="273"/>
      <c r="M5" s="273"/>
      <c r="N5" s="273"/>
      <c r="O5" s="273"/>
      <c r="P5" s="220"/>
      <c r="Q5" s="274"/>
      <c r="R5" s="217" t="str">
        <f ca="1">IF(ISERROR($V5),"",OFFSET('Smelter Look-up'!$C$4,$V5-4,0)&amp;"")</f>
        <v>PT Refined Bangka Tin</v>
      </c>
      <c r="S5" s="225" t="str">
        <f t="shared" ref="S5" ca="1" si="0">IF(B5="","",IF(ISERROR(MATCH($E5,CL,0)),"Unknown",INDIRECT("'C'!$A$"&amp;MATCH($E5,CL,0)+1)))</f>
        <v>ID</v>
      </c>
      <c r="T5" s="225" t="str">
        <f ca="1">IF(B5="","",IF(ISERROR(MATCH($J5,SorP!$B$1:$B$6230,0)),"",INDIRECT("'SorP'!$A$"&amp;MATCH($J5,SorP!$B$1:$B$6230,0))))</f>
        <v>ID-BB</v>
      </c>
      <c r="U5" s="241"/>
      <c r="V5" s="275">
        <f>IF(C5="",NA(),MATCH($B5&amp;$C5,'Smelter Look-up'!$J:$J,0))</f>
        <v>443</v>
      </c>
      <c r="W5" s="276"/>
      <c r="X5" s="276">
        <f t="shared" ref="X5" ca="1" si="1">IF(AND(C5="Smelter not listed",OR(LEN(D5)=0,LEN(E5)=0)),1,0)</f>
        <v>0</v>
      </c>
      <c r="Y5" s="276"/>
      <c r="Z5" s="276"/>
      <c r="AB5" s="278" t="str">
        <f t="shared" ref="AB5" si="2">B5&amp;C5</f>
        <v>TinPT Refined Bangka Tin</v>
      </c>
    </row>
    <row r="6" spans="1:34" s="277" customFormat="1" ht="20.100000000000001" customHeight="1">
      <c r="A6" s="332"/>
      <c r="B6" s="217" t="s">
        <v>1153</v>
      </c>
      <c r="C6" s="221" t="s">
        <v>2647</v>
      </c>
      <c r="D6" s="283"/>
      <c r="E6" s="217" t="str">
        <f ca="1">IF(ISERROR($V6),"",OFFSET('Smelter Look-up'!$D$4,$V6-4,0)&amp;"")</f>
        <v>CHINA</v>
      </c>
      <c r="F6" s="217" t="str">
        <f ca="1">IF(ISERROR($V6),"",OFFSET('Smelter Look-up'!$E$4,$V6-4,0))</f>
        <v>CID000707</v>
      </c>
      <c r="G6" s="217" t="str">
        <f ca="1">IF(C6=$X$4,"Enter smelter details",IF(ISERROR($V6),"",OFFSET('Smelter Look-up'!$F$4,$V6-4,0)))</f>
        <v>RMI</v>
      </c>
      <c r="H6" s="452" t="s">
        <v>15515</v>
      </c>
      <c r="I6" s="219" t="str">
        <f ca="1">IF(ISERROR($V6),"",OFFSET('Smelter Look-up'!$H$4,$V6-4,0))</f>
        <v>Fanling</v>
      </c>
      <c r="J6" s="219" t="str">
        <f ca="1">IF(ISERROR($V6),"",OFFSET('Smelter Look-up'!$I$4,$V6-4,0))</f>
        <v>Hong Kong SAR</v>
      </c>
      <c r="K6" s="273"/>
      <c r="L6" s="273"/>
      <c r="M6" s="273"/>
      <c r="N6" s="273"/>
      <c r="O6" s="273"/>
      <c r="P6" s="220"/>
      <c r="Q6" s="274"/>
      <c r="R6" s="217" t="str">
        <f ca="1">IF(ISERROR($V6),"",OFFSET('Smelter Look-up'!$C$4,$V6-4,0)&amp;"")</f>
        <v>Heraeus Metals Hong Kong Ltd.</v>
      </c>
      <c r="S6" s="225" t="str">
        <f t="shared" ref="S6:S37" ca="1" si="3">IF(B6="","",IF(ISERROR(MATCH($E6,CL,0)),"Unknown",INDIRECT("'C'!$A$"&amp;MATCH($E6,CL,0)+1)))</f>
        <v>CN</v>
      </c>
      <c r="T6" s="225" t="str">
        <f ca="1">IF(B6="","",IF(ISERROR(MATCH($J6,SorP!$B$1:$B$6230,0)),"",INDIRECT("'SorP'!$A$"&amp;MATCH($J6,SorP!$B$1:$B$6230,0))))</f>
        <v>CN-HK</v>
      </c>
      <c r="U6" s="241"/>
      <c r="V6" s="275">
        <f>IF(C6="",NA(),MATCH($B6&amp;$C6,'Smelter Look-up'!$J:$J,0))</f>
        <v>97</v>
      </c>
      <c r="W6" s="276"/>
      <c r="X6" s="276">
        <f t="shared" ref="X6:X37" ca="1" si="4">IF(AND(C6="Smelter not listed",OR(LEN(D6)=0,LEN(E6)=0)),1,0)</f>
        <v>0</v>
      </c>
      <c r="Y6" s="276"/>
      <c r="Z6" s="276"/>
      <c r="AB6" s="278" t="str">
        <f t="shared" ref="AB6:AB37" si="5">B6&amp;C6</f>
        <v>GoldHeraeus Metals Hong Kong Ltd.</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7" type="noConversion"/>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6:F19 F21:F585">
    <cfRule type="expression" dxfId="35" priority="13" stopIfTrue="1">
      <formula>IF(AND(LEN($A6)&gt;0,$A6&lt;&gt;$F6),TRUE,FALSE)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TAIWAY ELECTRONICS COMPONENTS CO.,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Amy Yen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amy@taiway.com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+886-2-8228-1538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Amy Yen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amy@taiway.com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43991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Yes</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https://www.taiway.com/list/conflict-minerals-statement.htm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434" activePane="bottomLeft" state="frozen"/>
      <selection activeCell="A4" sqref="A4"/>
      <selection pane="bottomLeft" activeCell="E443" sqref="E443"/>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84.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4.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26">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99">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10">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94.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0">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6">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2.7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8.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4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7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42.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8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99.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7.25">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1.5">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8.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1.5">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8.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2.7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8.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7">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2.7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2.7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71.2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cp:lastModifiedBy>
  <cp:lastPrinted>2015-04-21T20:47:43Z</cp:lastPrinted>
  <dcterms:created xsi:type="dcterms:W3CDTF">2010-06-21T21:00:23Z</dcterms:created>
  <dcterms:modified xsi:type="dcterms:W3CDTF">2020-08-06T04:36:27Z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